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avarr_reb\Documents\Dateien\09_Aufgaben\Robert\CCC-Abgleich\"/>
    </mc:Choice>
  </mc:AlternateContent>
  <workbookProtection workbookAlgorithmName="SHA-512" workbookHashValue="S6KEqOWBEV3Li9zR5Xvu9HxDhlB6PltOvpIVBeYuISSUW03SNhshsE1Yf04R0JcLDa4I3EfqKoatGwGTH+0uKQ==" workbookSaltValue="2UF/mehdYlhWONJ4Dm8L0Q==" workbookSpinCount="100000" lockStructure="1"/>
  <bookViews>
    <workbookView xWindow="0" yWindow="0" windowWidth="28800" windowHeight="12345" tabRatio="716"/>
  </bookViews>
  <sheets>
    <sheet name="READ ME" sheetId="17" r:id="rId1"/>
    <sheet name="Input" sheetId="1" r:id="rId2"/>
    <sheet name="Output" sheetId="11" r:id="rId3"/>
    <sheet name="Cashflow Calculation" sheetId="9" state="hidden" r:id="rId4"/>
    <sheet name="Loan Repayment Solar" sheetId="14" state="hidden" r:id="rId5"/>
    <sheet name="Loan Repayment Grid" sheetId="15" state="hidden" r:id="rId6"/>
    <sheet name="Loan Repayment Diesel" sheetId="16" state="hidden" r:id="rId7"/>
  </sheets>
  <definedNames>
    <definedName name="Beg_Bal" localSheetId="3">#REF!</definedName>
    <definedName name="Beg_Bal" localSheetId="6">'Loan Repayment Diesel'!$C$14:$C$373</definedName>
    <definedName name="Beg_Bal" localSheetId="5">'Loan Repayment Grid'!$C$14:$C$373</definedName>
    <definedName name="Beg_Bal" localSheetId="4">'Loan Repayment Solar'!$C$14:$C$373</definedName>
    <definedName name="Beg_Bal" localSheetId="2">#REF!</definedName>
    <definedName name="Beg_Bal">#REF!</definedName>
    <definedName name="Beg_Bal2" localSheetId="3">#REF!</definedName>
    <definedName name="Beg_Bal2" localSheetId="6">#REF!</definedName>
    <definedName name="Beg_Bal2" localSheetId="5">#REF!</definedName>
    <definedName name="Beg_Bal2" localSheetId="4">#REF!</definedName>
    <definedName name="Beg_Bal2" localSheetId="2">#REF!</definedName>
    <definedName name="Beg_Bal2">#REF!</definedName>
    <definedName name="Cum_Int" localSheetId="3">#REF!</definedName>
    <definedName name="Cum_Int" localSheetId="6">'Loan Repayment Diesel'!$J$14:$J$373</definedName>
    <definedName name="Cum_Int" localSheetId="5">'Loan Repayment Grid'!$J$14:$J$373</definedName>
    <definedName name="Cum_Int" localSheetId="4">'Loan Repayment Solar'!$J$14:$J$373</definedName>
    <definedName name="Cum_Int" localSheetId="2">#REF!</definedName>
    <definedName name="Cum_Int">#REF!</definedName>
    <definedName name="Data" localSheetId="3">#REF!</definedName>
    <definedName name="Data" localSheetId="6">'Loan Repayment Diesel'!$A$14:$J$373</definedName>
    <definedName name="Data" localSheetId="5">'Loan Repayment Grid'!$A$14:$J$373</definedName>
    <definedName name="Data" localSheetId="4">'Loan Repayment Solar'!$A$14:$J$373</definedName>
    <definedName name="Data" localSheetId="2">#REF!</definedName>
    <definedName name="Data">#REF!</definedName>
    <definedName name="_xlnm.Print_Area" localSheetId="1">Input!$A$1:$L$121</definedName>
    <definedName name="_xlnm.Print_Area" localSheetId="6">'Loan Repayment Diesel'!$A$1:$J$165</definedName>
    <definedName name="_xlnm.Print_Area" localSheetId="5">'Loan Repayment Grid'!$A$1:$J$165</definedName>
    <definedName name="_xlnm.Print_Area" localSheetId="4">'Loan Repayment Solar'!$A$1:$J$165</definedName>
    <definedName name="_xlnm.Print_Area" localSheetId="2">Output!$A$1:$S$255</definedName>
    <definedName name="_xlnm.Print_Titles" localSheetId="6">'Loan Repayment Diesel'!$12:$12</definedName>
    <definedName name="_xlnm.Print_Titles" localSheetId="5">'Loan Repayment Grid'!$12:$12</definedName>
    <definedName name="_xlnm.Print_Titles" localSheetId="4">'Loan Repayment Solar'!$12:$12</definedName>
    <definedName name="End_Bal" localSheetId="3">#REF!</definedName>
    <definedName name="End_Bal" localSheetId="6">'Loan Repayment Diesel'!$I$14:$I$373</definedName>
    <definedName name="End_Bal" localSheetId="5">'Loan Repayment Grid'!$I$14:$I$373</definedName>
    <definedName name="End_Bal" localSheetId="4">'Loan Repayment Solar'!$I$14:$I$373</definedName>
    <definedName name="End_Bal" localSheetId="2">#REF!</definedName>
    <definedName name="End_Bal">#REF!</definedName>
    <definedName name="Extra_Pay" localSheetId="3">#REF!</definedName>
    <definedName name="Extra_Pay" localSheetId="6">'Loan Repayment Diesel'!$E$14:$E$373</definedName>
    <definedName name="Extra_Pay" localSheetId="5">'Loan Repayment Grid'!$E$14:$E$373</definedName>
    <definedName name="Extra_Pay" localSheetId="4">'Loan Repayment Solar'!$E$14:$E$373</definedName>
    <definedName name="Extra_Pay" localSheetId="2">#REF!</definedName>
    <definedName name="Extra_Pay">#REF!</definedName>
    <definedName name="Full_Print" localSheetId="3">#REF!</definedName>
    <definedName name="Full_Print" localSheetId="6">'Loan Repayment Diesel'!$A$1:$J$373</definedName>
    <definedName name="Full_Print" localSheetId="5">'Loan Repayment Grid'!$A$1:$J$373</definedName>
    <definedName name="Full_Print" localSheetId="4">'Loan Repayment Solar'!$A$1:$J$373</definedName>
    <definedName name="Full_Print" localSheetId="2">#REF!</definedName>
    <definedName name="Full_Print">#REF!</definedName>
    <definedName name="Header_Row" localSheetId="3">ROW(#REF!)</definedName>
    <definedName name="Header_Row" localSheetId="6">ROW('Loan Repayment Diesel'!$13:$13)</definedName>
    <definedName name="Header_Row" localSheetId="5">ROW('Loan Repayment Grid'!$13:$13)</definedName>
    <definedName name="Header_Row" localSheetId="4">ROW('Loan Repayment Solar'!$13:$13)</definedName>
    <definedName name="Header_Row" localSheetId="2">ROW(#REF!)</definedName>
    <definedName name="Header_Row">ROW(#REF!)</definedName>
    <definedName name="Int" localSheetId="3">#REF!</definedName>
    <definedName name="Int" localSheetId="6">'Loan Repayment Diesel'!$H$14:$H$373</definedName>
    <definedName name="Int" localSheetId="5">'Loan Repayment Grid'!$H$14:$H$373</definedName>
    <definedName name="Int" localSheetId="4">'Loan Repayment Solar'!$H$14:$H$373</definedName>
    <definedName name="Int" localSheetId="2">#REF!</definedName>
    <definedName name="Int">#REF!</definedName>
    <definedName name="Interest_Rate" localSheetId="3">#REF!</definedName>
    <definedName name="Interest_Rate" localSheetId="6">'Loan Repayment Diesel'!$D$5</definedName>
    <definedName name="Interest_Rate" localSheetId="5">'Loan Repayment Grid'!$D$5</definedName>
    <definedName name="Interest_Rate" localSheetId="4">'Loan Repayment Solar'!$D$5</definedName>
    <definedName name="Interest_Rate" localSheetId="2">#REF!</definedName>
    <definedName name="Interest_Rate">#REF!</definedName>
    <definedName name="Last_Row" localSheetId="3">IF('Cashflow Calculation'!Values_Entered,'Cashflow Calculation'!Header_Row+'Cashflow Calculation'!Number_of_Payments,'Cashflow Calculation'!Header_Row)</definedName>
    <definedName name="Last_Row" localSheetId="6">IF('Loan Repayment Diesel'!Values_Entered,'Loan Repayment Diesel'!Header_Row+'Loan Repayment Diesel'!Number_of_Payments,'Loan Repayment Diesel'!Header_Row)</definedName>
    <definedName name="Last_Row" localSheetId="5">IF('Loan Repayment Grid'!Values_Entered,'Loan Repayment Grid'!Header_Row+'Loan Repayment Grid'!Number_of_Payments,'Loan Repayment Grid'!Header_Row)</definedName>
    <definedName name="Last_Row" localSheetId="4">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3">#REF!</definedName>
    <definedName name="Loan_Amount" localSheetId="6">'Loan Repayment Diesel'!$D$4</definedName>
    <definedName name="Loan_Amount" localSheetId="5">'Loan Repayment Grid'!$D$4</definedName>
    <definedName name="Loan_Amount" localSheetId="4">'Loan Repayment Solar'!$D$4</definedName>
    <definedName name="Loan_Amount" localSheetId="2">#REF!</definedName>
    <definedName name="Loan_Amount">#REF!</definedName>
    <definedName name="Loan_Start" localSheetId="3">#REF!</definedName>
    <definedName name="Loan_Start" localSheetId="6">'Loan Repayment Diesel'!$D$8</definedName>
    <definedName name="Loan_Start" localSheetId="5">'Loan Repayment Grid'!$D$8</definedName>
    <definedName name="Loan_Start" localSheetId="4">'Loan Repayment Solar'!$D$8</definedName>
    <definedName name="Loan_Start" localSheetId="2">#REF!</definedName>
    <definedName name="Loan_Start">#REF!</definedName>
    <definedName name="Loan_Years" localSheetId="3">#REF!</definedName>
    <definedName name="Loan_Years" localSheetId="6">'Loan Repayment Diesel'!$D$6</definedName>
    <definedName name="Loan_Years" localSheetId="5">'Loan Repayment Grid'!$D$6</definedName>
    <definedName name="Loan_Years" localSheetId="4">'Loan Repayment Solar'!$D$6</definedName>
    <definedName name="Loan_Years" localSheetId="2">#REF!</definedName>
    <definedName name="Loan_Years">#REF!</definedName>
    <definedName name="Num_Pmt_Per_Year" localSheetId="3">#REF!</definedName>
    <definedName name="Num_Pmt_Per_Year" localSheetId="6">'Loan Repayment Diesel'!$D$7</definedName>
    <definedName name="Num_Pmt_Per_Year" localSheetId="5">'Loan Repayment Grid'!$D$7</definedName>
    <definedName name="Num_Pmt_Per_Year" localSheetId="4">'Loan Repayment Solar'!$D$7</definedName>
    <definedName name="Num_Pmt_Per_Year" localSheetId="2">#REF!</definedName>
    <definedName name="Num_Pmt_Per_Year">#REF!</definedName>
    <definedName name="Number_of_Payments" localSheetId="3">MATCH(0.01,'Cashflow Calculation'!End_Bal,-1)+1</definedName>
    <definedName name="Number_of_Payments" localSheetId="6">MATCH(0.01,'Loan Repayment Diesel'!End_Bal,-1)+1</definedName>
    <definedName name="Number_of_Payments" localSheetId="5">MATCH(0.01,'Loan Repayment Grid'!End_Bal,-1)+1</definedName>
    <definedName name="Number_of_Payments" localSheetId="4">MATCH(0.01,'Loan Repayment Solar'!End_Bal,-1)+1</definedName>
    <definedName name="Number_of_Payments" localSheetId="2">MATCH(0.01,Output!End_Bal,-1)+1</definedName>
    <definedName name="Number_of_Payments">MATCH(0.01,End_Bal,-1)+1</definedName>
    <definedName name="Pay_Date" localSheetId="3">#REF!</definedName>
    <definedName name="Pay_Date" localSheetId="6">'Loan Repayment Diesel'!$B$14:$B$373</definedName>
    <definedName name="Pay_Date" localSheetId="5">'Loan Repayment Grid'!$B$14:$B$373</definedName>
    <definedName name="Pay_Date" localSheetId="4">'Loan Repayment Solar'!$B$14:$B$373</definedName>
    <definedName name="Pay_Date" localSheetId="2">#REF!</definedName>
    <definedName name="Pay_Date">#REF!</definedName>
    <definedName name="Pay_Num" localSheetId="3">#REF!</definedName>
    <definedName name="Pay_Num" localSheetId="6">'Loan Repayment Diesel'!$A$14:$A$373</definedName>
    <definedName name="Pay_Num" localSheetId="5">'Loan Repayment Grid'!$A$14:$A$373</definedName>
    <definedName name="Pay_Num" localSheetId="4">'Loan Repayment Solar'!$A$14:$A$373</definedName>
    <definedName name="Pay_Num" localSheetId="2">#REF!</definedName>
    <definedName name="Pay_Num">#REF!</definedName>
    <definedName name="Payment_Date" localSheetId="3">DATE(YEAR('Cashflow Calculation'!Loan_Start),MONTH('Cashflow Calculation'!Loan_Start)+Payment_Number,DAY('Cashflow Calculation'!Loan_Start))</definedName>
    <definedName name="Payment_Date" localSheetId="6">DATE(YEAR('Loan Repayment Diesel'!Loan_Start),MONTH('Loan Repayment Diesel'!Loan_Start)+Payment_Number,DAY('Loan Repayment Diesel'!Loan_Start))</definedName>
    <definedName name="Payment_Date" localSheetId="5">DATE(YEAR('Loan Repayment Grid'!Loan_Start),MONTH('Loan Repayment Grid'!Loan_Start)+Payment_Number,DAY('Loan Repayment Grid'!Loan_Start))</definedName>
    <definedName name="Payment_Date" localSheetId="4">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3">DATE(YEAR('Cashflow Calculation'!Loan_Start),MONTH('Cashflow Calculation'!Loan_Start)+Payment_Number,DAY('Cashflow Calculation'!Loan_Start))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4">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3">#REF!</definedName>
    <definedName name="Princ" localSheetId="6">'Loan Repayment Diesel'!$G$14:$G$373</definedName>
    <definedName name="Princ" localSheetId="5">'Loan Repayment Grid'!$G$14:$G$373</definedName>
    <definedName name="Princ" localSheetId="4">'Loan Repayment Solar'!$G$14:$G$373</definedName>
    <definedName name="Princ" localSheetId="2">#REF!</definedName>
    <definedName name="Princ">#REF!</definedName>
    <definedName name="Print_Area_Reset" localSheetId="3">OFFSET('Cashflow Calculation'!Full_Print,0,0,'Cashflow Calculation'!Last_Row)</definedName>
    <definedName name="Print_Area_Reset" localSheetId="6">OFFSET('Loan Repayment Diesel'!Full_Print,0,0,'Loan Repayment Diesel'!Last_Row)</definedName>
    <definedName name="Print_Area_Reset" localSheetId="5">OFFSET('Loan Repayment Grid'!Full_Print,0,0,'Loan Repayment Grid'!Last_Row)</definedName>
    <definedName name="Print_Area_Reset" localSheetId="4">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3">#REF!</definedName>
    <definedName name="sadasdf" localSheetId="6">#REF!</definedName>
    <definedName name="sadasdf" localSheetId="5">#REF!</definedName>
    <definedName name="sadasdf" localSheetId="4">#REF!</definedName>
    <definedName name="sadasdf" localSheetId="2">#REF!</definedName>
    <definedName name="sadasdf">#REF!</definedName>
    <definedName name="Sched_Pay" localSheetId="3">#REF!</definedName>
    <definedName name="Sched_Pay" localSheetId="6">'Loan Repayment Diesel'!$D$14:$D$373</definedName>
    <definedName name="Sched_Pay" localSheetId="5">'Loan Repayment Grid'!$D$14:$D$373</definedName>
    <definedName name="Sched_Pay" localSheetId="4">'Loan Repayment Solar'!$D$14:$D$373</definedName>
    <definedName name="Sched_Pay" localSheetId="2">#REF!</definedName>
    <definedName name="Sched_Pay">#REF!</definedName>
    <definedName name="Scheduled_Extra_Payments" localSheetId="3">#REF!</definedName>
    <definedName name="Scheduled_Extra_Payments" localSheetId="6">'Loan Repayment Diesel'!$D$9</definedName>
    <definedName name="Scheduled_Extra_Payments" localSheetId="5">'Loan Repayment Grid'!$D$9</definedName>
    <definedName name="Scheduled_Extra_Payments" localSheetId="4">'Loan Repayment Solar'!$D$9</definedName>
    <definedName name="Scheduled_Extra_Payments" localSheetId="2">#REF!</definedName>
    <definedName name="Scheduled_Extra_Payments">#REF!</definedName>
    <definedName name="Scheduled_Interest_Rate" localSheetId="3">#REF!</definedName>
    <definedName name="Scheduled_Interest_Rate" localSheetId="6">'Loan Repayment Diesel'!$D$5</definedName>
    <definedName name="Scheduled_Interest_Rate" localSheetId="5">'Loan Repayment Grid'!$D$5</definedName>
    <definedName name="Scheduled_Interest_Rate" localSheetId="4">'Loan Repayment Solar'!$D$5</definedName>
    <definedName name="Scheduled_Interest_Rate" localSheetId="2">#REF!</definedName>
    <definedName name="Scheduled_Interest_Rate">#REF!</definedName>
    <definedName name="Scheduled_Monthly_Payment" localSheetId="3">#REF!</definedName>
    <definedName name="Scheduled_Monthly_Payment" localSheetId="6">'Loan Repayment Diesel'!$H$4</definedName>
    <definedName name="Scheduled_Monthly_Payment" localSheetId="5">'Loan Repayment Grid'!$H$4</definedName>
    <definedName name="Scheduled_Monthly_Payment" localSheetId="4">'Loan Repayment Solar'!$H$4</definedName>
    <definedName name="Scheduled_Monthly_Payment" localSheetId="2">#REF!</definedName>
    <definedName name="Scheduled_Monthly_Payment">#REF!</definedName>
    <definedName name="test" localSheetId="3">#REF!</definedName>
    <definedName name="test" localSheetId="6">#REF!</definedName>
    <definedName name="test" localSheetId="5">#REF!</definedName>
    <definedName name="test" localSheetId="4">#REF!</definedName>
    <definedName name="test" localSheetId="2">#REF!</definedName>
    <definedName name="test">#REF!</definedName>
    <definedName name="Total_Interest" localSheetId="3">#REF!</definedName>
    <definedName name="Total_Interest" localSheetId="6">'Loan Repayment Diesel'!$H$8</definedName>
    <definedName name="Total_Interest" localSheetId="5">'Loan Repayment Grid'!$H$8</definedName>
    <definedName name="Total_Interest" localSheetId="4">'Loan Repayment Solar'!$H$8</definedName>
    <definedName name="Total_Interest" localSheetId="2">#REF!</definedName>
    <definedName name="Total_Interest">#REF!</definedName>
    <definedName name="Total_Pay" localSheetId="3">#REF!</definedName>
    <definedName name="Total_Pay" localSheetId="6">'Loan Repayment Diesel'!$F$14:$F$373</definedName>
    <definedName name="Total_Pay" localSheetId="5">'Loan Repayment Grid'!$F$14:$F$373</definedName>
    <definedName name="Total_Pay" localSheetId="4">'Loan Repayment Solar'!$F$14:$F$373</definedName>
    <definedName name="Total_Pay" localSheetId="2">#REF!</definedName>
    <definedName name="Total_Pay">#REF!</definedName>
    <definedName name="Total_Payment" localSheetId="3">Scheduled_Payment+Extra_Payment</definedName>
    <definedName name="Total_Payment" localSheetId="6">Scheduled_Payment+Extra_Payment</definedName>
    <definedName name="Total_Payment" localSheetId="5">Scheduled_Payment+Extra_Payment</definedName>
    <definedName name="Total_Payment" localSheetId="4">Scheduled_Payment+Extra_Payment</definedName>
    <definedName name="Total_Payment" localSheetId="2">Scheduled_Payment+Extra_Payment</definedName>
    <definedName name="Total_Payment">Scheduled_Payment+Extra_Payment</definedName>
    <definedName name="Values_Entered" localSheetId="3">IF('Cashflow Calculation'!Loan_Amount*'Cashflow Calculation'!Interest_Rate*'Cashflow Calculation'!Loan_Years*'Cashflow Calculation'!Loan_Start&gt;0,1,0)</definedName>
    <definedName name="Values_Entered" localSheetId="6">IF('Loan Repayment Diesel'!Loan_Amount*'Loan Repayment Diesel'!Interest_Rate*'Loan Repayment Diesel'!Loan_Years*'Loan Repayment Diesel'!Loan_Start&gt;0,1,0)</definedName>
    <definedName name="Values_Entered" localSheetId="5">IF('Loan Repayment Grid'!Loan_Amount*'Loan Repayment Grid'!Interest_Rate*'Loan Repayment Grid'!Loan_Years*'Loan Repayment Grid'!Loan_Start&gt;0,1,0)</definedName>
    <definedName name="Values_Entered" localSheetId="4">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62913"/>
</workbook>
</file>

<file path=xl/calcChain.xml><?xml version="1.0" encoding="utf-8"?>
<calcChain xmlns="http://schemas.openxmlformats.org/spreadsheetml/2006/main">
  <c r="L35" i="11" l="1"/>
  <c r="B51" i="9" l="1"/>
  <c r="C8" i="9"/>
  <c r="B8" i="9"/>
  <c r="F24" i="1"/>
  <c r="F20" i="1"/>
  <c r="K105" i="1"/>
  <c r="K73" i="1"/>
  <c r="V190" i="9" l="1"/>
  <c r="U189" i="9"/>
  <c r="U188" i="9"/>
  <c r="U187" i="9"/>
  <c r="N185" i="9"/>
  <c r="C153" i="9"/>
  <c r="C87" i="9"/>
  <c r="C49" i="9"/>
  <c r="E73" i="1"/>
  <c r="E44" i="1"/>
  <c r="K44" i="1"/>
  <c r="E95" i="1" l="1"/>
  <c r="E63" i="1"/>
  <c r="E33" i="1"/>
  <c r="C152" i="9" l="1"/>
  <c r="C86" i="9"/>
  <c r="F129" i="9" l="1"/>
  <c r="G129" i="9"/>
  <c r="H129" i="9"/>
  <c r="J129" i="9"/>
  <c r="M129" i="9"/>
  <c r="O129" i="9"/>
  <c r="P129" i="9"/>
  <c r="Q129" i="9"/>
  <c r="U129" i="9"/>
  <c r="V129" i="9"/>
  <c r="W129" i="9"/>
  <c r="Z129" i="9"/>
  <c r="AA129" i="9"/>
  <c r="F130" i="9"/>
  <c r="G130" i="9"/>
  <c r="H130" i="9"/>
  <c r="I130" i="9"/>
  <c r="J130" i="9"/>
  <c r="M130" i="9"/>
  <c r="N130" i="9"/>
  <c r="O130" i="9"/>
  <c r="P130" i="9"/>
  <c r="Q130" i="9"/>
  <c r="S130" i="9"/>
  <c r="U130" i="9"/>
  <c r="V130" i="9"/>
  <c r="W130" i="9"/>
  <c r="X130" i="9"/>
  <c r="Z130" i="9"/>
  <c r="AA130" i="9"/>
  <c r="AC130" i="9"/>
  <c r="F131" i="9"/>
  <c r="G131" i="9"/>
  <c r="H131" i="9"/>
  <c r="I131" i="9"/>
  <c r="J131" i="9"/>
  <c r="K131" i="9"/>
  <c r="M131" i="9"/>
  <c r="N131" i="9"/>
  <c r="O131" i="9"/>
  <c r="P131" i="9"/>
  <c r="Q131" i="9"/>
  <c r="R131" i="9"/>
  <c r="S131" i="9"/>
  <c r="U131" i="9"/>
  <c r="V131" i="9"/>
  <c r="W131" i="9"/>
  <c r="X131" i="9"/>
  <c r="Y131" i="9"/>
  <c r="Z131" i="9"/>
  <c r="AA131" i="9"/>
  <c r="AC131" i="9"/>
  <c r="F132" i="9"/>
  <c r="G132" i="9"/>
  <c r="H132" i="9"/>
  <c r="I132" i="9"/>
  <c r="J132" i="9"/>
  <c r="K132" i="9"/>
  <c r="L132" i="9"/>
  <c r="M132" i="9"/>
  <c r="N132" i="9"/>
  <c r="O132" i="9"/>
  <c r="P132" i="9"/>
  <c r="Q132" i="9"/>
  <c r="R132" i="9"/>
  <c r="S132" i="9"/>
  <c r="T132" i="9"/>
  <c r="U132" i="9"/>
  <c r="V132" i="9"/>
  <c r="W132" i="9"/>
  <c r="X132" i="9"/>
  <c r="Y132" i="9"/>
  <c r="Z132" i="9"/>
  <c r="AA132" i="9"/>
  <c r="AB132" i="9"/>
  <c r="AC132" i="9"/>
  <c r="F133" i="9"/>
  <c r="G133" i="9"/>
  <c r="H133" i="9"/>
  <c r="I133" i="9"/>
  <c r="J133" i="9"/>
  <c r="K133" i="9"/>
  <c r="L133" i="9"/>
  <c r="M133" i="9"/>
  <c r="N133" i="9"/>
  <c r="O133" i="9"/>
  <c r="P133" i="9"/>
  <c r="Q133" i="9"/>
  <c r="R133" i="9"/>
  <c r="S133" i="9"/>
  <c r="T133" i="9"/>
  <c r="U133" i="9"/>
  <c r="V133" i="9"/>
  <c r="W133" i="9"/>
  <c r="X133" i="9"/>
  <c r="Y133" i="9"/>
  <c r="Z133" i="9"/>
  <c r="AA133" i="9"/>
  <c r="AB133" i="9"/>
  <c r="AC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I64" i="9"/>
  <c r="J64" i="9"/>
  <c r="L64" i="9"/>
  <c r="M64" i="9"/>
  <c r="O64" i="9"/>
  <c r="P64" i="9"/>
  <c r="Q64" i="9"/>
  <c r="S64" i="9"/>
  <c r="T64" i="9"/>
  <c r="U64" i="9"/>
  <c r="V64" i="9"/>
  <c r="W64" i="9"/>
  <c r="Z64" i="9"/>
  <c r="AA64" i="9"/>
  <c r="AB64" i="9"/>
  <c r="AC64" i="9"/>
  <c r="F65" i="9"/>
  <c r="G65" i="9"/>
  <c r="H65" i="9"/>
  <c r="I65" i="9"/>
  <c r="J65" i="9"/>
  <c r="K65" i="9"/>
  <c r="L65" i="9"/>
  <c r="M65" i="9"/>
  <c r="O65" i="9"/>
  <c r="P65" i="9"/>
  <c r="Q65" i="9"/>
  <c r="R65" i="9"/>
  <c r="S65" i="9"/>
  <c r="T65" i="9"/>
  <c r="U65" i="9"/>
  <c r="V65" i="9"/>
  <c r="W65" i="9"/>
  <c r="Y65" i="9"/>
  <c r="Z65" i="9"/>
  <c r="AA65" i="9"/>
  <c r="AB65" i="9"/>
  <c r="AC65" i="9"/>
  <c r="F66" i="9"/>
  <c r="G66" i="9"/>
  <c r="H66" i="9"/>
  <c r="I66" i="9"/>
  <c r="J66" i="9"/>
  <c r="K66" i="9"/>
  <c r="L66" i="9"/>
  <c r="M66" i="9"/>
  <c r="N66" i="9"/>
  <c r="O66" i="9"/>
  <c r="P66" i="9"/>
  <c r="Q66" i="9"/>
  <c r="R66" i="9"/>
  <c r="S66" i="9"/>
  <c r="T66" i="9"/>
  <c r="U66" i="9"/>
  <c r="V66" i="9"/>
  <c r="W66" i="9"/>
  <c r="Y66" i="9"/>
  <c r="Z66" i="9"/>
  <c r="AA66" i="9"/>
  <c r="AB66" i="9"/>
  <c r="AC66" i="9"/>
  <c r="F67" i="9"/>
  <c r="G67" i="9"/>
  <c r="H67" i="9"/>
  <c r="I67" i="9"/>
  <c r="J67" i="9"/>
  <c r="K67" i="9"/>
  <c r="L67" i="9"/>
  <c r="M67" i="9"/>
  <c r="N67" i="9"/>
  <c r="O67" i="9"/>
  <c r="P67" i="9"/>
  <c r="Q67" i="9"/>
  <c r="R67" i="9"/>
  <c r="S67" i="9"/>
  <c r="T67" i="9"/>
  <c r="U67" i="9"/>
  <c r="W67" i="9"/>
  <c r="X67" i="9"/>
  <c r="Y67" i="9"/>
  <c r="Z67" i="9"/>
  <c r="AA67" i="9"/>
  <c r="AB67" i="9"/>
  <c r="AC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I29" i="9"/>
  <c r="J29" i="9"/>
  <c r="K29" i="9"/>
  <c r="L29" i="9"/>
  <c r="M29" i="9"/>
  <c r="N29" i="9"/>
  <c r="O29" i="9"/>
  <c r="P29" i="9"/>
  <c r="Q29" i="9"/>
  <c r="R29" i="9"/>
  <c r="S29" i="9"/>
  <c r="T29" i="9"/>
  <c r="U29" i="9"/>
  <c r="W29" i="9"/>
  <c r="X29" i="9"/>
  <c r="Y29" i="9"/>
  <c r="Z29" i="9"/>
  <c r="AA29" i="9"/>
  <c r="AB29" i="9"/>
  <c r="AC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I27" i="9"/>
  <c r="J27" i="9"/>
  <c r="L27" i="9"/>
  <c r="M27" i="9"/>
  <c r="N27" i="9"/>
  <c r="O27" i="9"/>
  <c r="P27" i="9"/>
  <c r="Q27" i="9"/>
  <c r="S27" i="9"/>
  <c r="T27" i="9"/>
  <c r="U27" i="9"/>
  <c r="V27" i="9"/>
  <c r="W27" i="9"/>
  <c r="X27" i="9"/>
  <c r="Z27" i="9"/>
  <c r="AA27" i="9"/>
  <c r="AB27" i="9"/>
  <c r="AC27" i="9"/>
  <c r="E27" i="9"/>
  <c r="F26" i="9"/>
  <c r="G26" i="9"/>
  <c r="H26" i="9"/>
  <c r="I26" i="9"/>
  <c r="J26" i="9"/>
  <c r="L26" i="9"/>
  <c r="M26" i="9"/>
  <c r="O26" i="9"/>
  <c r="P26" i="9"/>
  <c r="Q26" i="9"/>
  <c r="S26" i="9"/>
  <c r="T26" i="9"/>
  <c r="U26" i="9"/>
  <c r="V26" i="9"/>
  <c r="W26" i="9"/>
  <c r="Z26" i="9"/>
  <c r="AA26" i="9"/>
  <c r="AB26" i="9"/>
  <c r="AC26" i="9"/>
  <c r="E26" i="9"/>
  <c r="F25" i="9"/>
  <c r="G25" i="9"/>
  <c r="H25" i="9"/>
  <c r="I25" i="9"/>
  <c r="J25" i="9"/>
  <c r="L25" i="9"/>
  <c r="M25" i="9"/>
  <c r="O25" i="9"/>
  <c r="P25" i="9"/>
  <c r="Q25" i="9"/>
  <c r="S25" i="9"/>
  <c r="T25" i="9"/>
  <c r="U25" i="9"/>
  <c r="V25" i="9"/>
  <c r="W25" i="9"/>
  <c r="Z25" i="9"/>
  <c r="AA25" i="9"/>
  <c r="AB25" i="9"/>
  <c r="AC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l="1"/>
  <c r="R189" i="9"/>
  <c r="R188" i="9"/>
  <c r="R187" i="9"/>
  <c r="B6" i="9" l="1"/>
  <c r="K85" i="1"/>
  <c r="B89" i="9"/>
  <c r="Q31" i="11" l="1"/>
  <c r="K31" i="11"/>
  <c r="E31" i="11"/>
  <c r="K84" i="1"/>
  <c r="D129" i="9" l="1"/>
  <c r="C129" i="9"/>
  <c r="A129" i="9"/>
  <c r="F96" i="1"/>
  <c r="E6" i="11" l="1"/>
  <c r="E8" i="1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K33" i="11" l="1"/>
  <c r="D147" i="9"/>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B20" i="11"/>
  <c r="N188" i="9"/>
  <c r="K188" i="9"/>
  <c r="H188" i="9"/>
  <c r="E188" i="9"/>
  <c r="E190" i="9"/>
  <c r="K190" i="9"/>
  <c r="K138" i="9" l="1"/>
  <c r="E194" i="9"/>
  <c r="E192" i="9"/>
  <c r="E191"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R26" i="9" l="1"/>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L76" i="9"/>
  <c r="L86" i="9" s="1"/>
  <c r="Z142" i="9"/>
  <c r="Z152" i="9" s="1"/>
  <c r="AA72" i="9"/>
  <c r="J81" i="9"/>
  <c r="K79"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Q23" i="11"/>
  <c r="F189" i="9"/>
  <c r="Z85" i="9"/>
  <c r="Z84" i="9" s="1"/>
  <c r="AA76" i="9"/>
  <c r="AA86" i="9" s="1"/>
  <c r="Q29" i="11"/>
  <c r="O189" i="9"/>
  <c r="Y81" i="9"/>
  <c r="Z79" i="9"/>
  <c r="S189" i="9"/>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Q25" i="1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AB81" i="9"/>
  <c r="E38" i="16"/>
  <c r="H38" i="16"/>
  <c r="J38" i="16" s="1"/>
  <c r="B67" i="15"/>
  <c r="A68" i="15"/>
  <c r="D67" i="15"/>
  <c r="F37" i="15"/>
  <c r="G37" i="15" s="1"/>
  <c r="I37" i="15" s="1"/>
  <c r="C38" i="15" s="1"/>
  <c r="H38" i="14"/>
  <c r="J38" i="14" s="1"/>
  <c r="E38" i="14"/>
  <c r="D66" i="14"/>
  <c r="B66" i="14"/>
  <c r="A67" i="14"/>
  <c r="AC84" i="9" l="1"/>
  <c r="AC79" i="9" s="1"/>
  <c r="L188" i="9"/>
  <c r="K27" i="11"/>
  <c r="F38" i="16"/>
  <c r="G38" i="16" s="1"/>
  <c r="I38" i="16" s="1"/>
  <c r="C39" i="16" s="1"/>
  <c r="D68" i="15"/>
  <c r="A69" i="15"/>
  <c r="B68" i="15"/>
  <c r="H38" i="15"/>
  <c r="J38" i="15" s="1"/>
  <c r="E38" i="15"/>
  <c r="B67" i="14"/>
  <c r="D67" i="14"/>
  <c r="A68" i="14"/>
  <c r="F38" i="14"/>
  <c r="G38" i="14" s="1"/>
  <c r="I38" i="14"/>
  <c r="C39" i="14" s="1"/>
  <c r="B82" i="9" l="1"/>
  <c r="O188" i="9" s="1"/>
  <c r="C90" i="9"/>
  <c r="C89" i="9"/>
  <c r="AC81" i="9"/>
  <c r="S188" i="9"/>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3" i="11"/>
  <c r="K21" i="11"/>
  <c r="I188" i="9"/>
  <c r="K25" i="11"/>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Q27" i="11"/>
  <c r="L189" i="9"/>
  <c r="AC47" i="9" l="1"/>
  <c r="B46" i="9" s="1"/>
  <c r="L187" i="9" s="1"/>
  <c r="AC46" i="9" l="1"/>
  <c r="AC41" i="9" s="1"/>
  <c r="E27" i="11"/>
  <c r="AC43" i="9" l="1"/>
  <c r="C52" i="9"/>
  <c r="C51" i="9"/>
  <c r="S187" i="9"/>
  <c r="B44" i="9"/>
  <c r="E23" i="11" l="1"/>
  <c r="N106" i="9"/>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E25" i="11"/>
  <c r="O123" i="9" l="1"/>
</calcChain>
</file>

<file path=xl/sharedStrings.xml><?xml version="1.0" encoding="utf-8"?>
<sst xmlns="http://schemas.openxmlformats.org/spreadsheetml/2006/main" count="404" uniqueCount="210">
  <si>
    <t>Installation</t>
  </si>
  <si>
    <t>Water storage</t>
  </si>
  <si>
    <t>Drilling</t>
  </si>
  <si>
    <t>Irrigation system</t>
  </si>
  <si>
    <t>Currency used for calculation:</t>
  </si>
  <si>
    <t>Initial Capital Costs</t>
  </si>
  <si>
    <t>Running costs</t>
  </si>
  <si>
    <t>Maintenance costs per year:</t>
  </si>
  <si>
    <t>Wires / tubes</t>
  </si>
  <si>
    <t>Year</t>
  </si>
  <si>
    <t>Other costs</t>
  </si>
  <si>
    <t>Totals costs</t>
  </si>
  <si>
    <t>Total costs</t>
  </si>
  <si>
    <t>Total costs per year:</t>
  </si>
  <si>
    <t>Diesel</t>
  </si>
  <si>
    <t>Inflation</t>
  </si>
  <si>
    <t>%</t>
  </si>
  <si>
    <t>Interest Rate</t>
  </si>
  <si>
    <t>Investment Period</t>
  </si>
  <si>
    <t>Inflation rate:</t>
  </si>
  <si>
    <t>Operating Costs:</t>
  </si>
  <si>
    <t>Gross Expenses System per year:</t>
  </si>
  <si>
    <t>Cash Flow:</t>
  </si>
  <si>
    <t>NPV</t>
  </si>
  <si>
    <t>IRR</t>
  </si>
  <si>
    <t>PV</t>
  </si>
  <si>
    <t>Anuties of Investment</t>
  </si>
  <si>
    <t>Annuity</t>
  </si>
  <si>
    <t>Total</t>
  </si>
  <si>
    <t>System Life Cycle Costs</t>
  </si>
  <si>
    <t>Net Present Value (NPV)</t>
  </si>
  <si>
    <t>accumulated</t>
  </si>
  <si>
    <t>Annual profit margin increase</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</si>
  <si>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</si>
  <si>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</si>
  <si>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</si>
  <si>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</si>
  <si>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</si>
  <si>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</si>
  <si>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</si>
  <si>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</si>
  <si>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</si>
  <si>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</si>
  <si>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</si>
  <si>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</si>
  <si>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</si>
  <si>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</si>
  <si>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</si>
  <si>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</si>
  <si>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</si>
  <si>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</si>
  <si>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</si>
  <si>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</si>
  <si>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</si>
  <si>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</si>
  <si>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</si>
  <si>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</si>
  <si>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Loan amount</t>
  </si>
  <si>
    <t>Total income per year</t>
  </si>
  <si>
    <t xml:space="preserve"> </t>
  </si>
  <si>
    <t>Annual profit margin increase:</t>
  </si>
  <si>
    <t>Total water need per day</t>
  </si>
  <si>
    <t>Operational costs per year:</t>
  </si>
  <si>
    <t>Other Costs</t>
  </si>
  <si>
    <t>year</t>
  </si>
  <si>
    <t>Read Me Sheet</t>
  </si>
  <si>
    <t>Introduction</t>
  </si>
  <si>
    <t>Overview</t>
  </si>
  <si>
    <t>Tips &amp; Tricks</t>
  </si>
  <si>
    <t>About</t>
  </si>
  <si>
    <t>Basic assumptions</t>
  </si>
  <si>
    <t>Component lifespan</t>
  </si>
  <si>
    <t>Years</t>
  </si>
  <si>
    <t>Name of Bank</t>
  </si>
  <si>
    <t>Diagramms (Output) - Number:</t>
  </si>
  <si>
    <t>Loan Repayment:</t>
  </si>
  <si>
    <t>Connections:</t>
  </si>
  <si>
    <t>Annual fuel price increase</t>
  </si>
  <si>
    <t xml:space="preserve">Fuel price increase/year: </t>
  </si>
  <si>
    <t>Energy costs (fuel or electricity):</t>
  </si>
  <si>
    <t>Discount rate</t>
  </si>
  <si>
    <t>This OUTPUT sheet summarises the results as per the entries in the afore completed INPUT sheet.</t>
  </si>
  <si>
    <t>Lending Bank:</t>
  </si>
  <si>
    <t>Daily water requirement:</t>
  </si>
  <si>
    <t>Volume flow m³/hour:</t>
  </si>
  <si>
    <t xml:space="preserve">Yearly irrigation days: </t>
  </si>
  <si>
    <t>m³/day</t>
  </si>
  <si>
    <t>m³/hour</t>
  </si>
  <si>
    <t>days/year</t>
  </si>
  <si>
    <t>This INPUT sheet requires entry of values, which then serve the results displayed in the next OUTPUT sheet.</t>
  </si>
  <si>
    <t>This tool comprises the following sheets:</t>
  </si>
  <si>
    <t>If a negative (-) Net Present Value (NPV) is displayed then the investment is not feasible.</t>
  </si>
  <si>
    <t>Control unit</t>
  </si>
  <si>
    <t xml:space="preserve">Loan Repayment </t>
  </si>
  <si>
    <t>Loan Repayment</t>
  </si>
  <si>
    <t>Fuel costs per year:</t>
  </si>
  <si>
    <t>l/hour</t>
  </si>
  <si>
    <t>l/day</t>
  </si>
  <si>
    <t>l/year</t>
  </si>
  <si>
    <t>for data entry of anticipated income and expenditure for pumping and irrigation technology</t>
  </si>
  <si>
    <t>for analysis of results automatically generated from Input sheet</t>
  </si>
  <si>
    <t>Solar panels</t>
  </si>
  <si>
    <t>Electricity costs per year:</t>
  </si>
  <si>
    <t>kW</t>
  </si>
  <si>
    <t>kWh</t>
  </si>
  <si>
    <t>Pump's power demand:</t>
  </si>
  <si>
    <t xml:space="preserve">kWh needed per day: </t>
  </si>
  <si>
    <t>kWh needed per year:</t>
  </si>
  <si>
    <t>Cost kWh:</t>
  </si>
  <si>
    <t>Electricity cost per year:</t>
  </si>
  <si>
    <t>kg/year</t>
  </si>
  <si>
    <t>Note:</t>
  </si>
  <si>
    <t>Generator</t>
  </si>
  <si>
    <t>Pump</t>
  </si>
  <si>
    <t>© GIZ and FAO, 2017</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</si>
  <si>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</si>
  <si>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If "not feasible" is displayed for the Internal Rate of Return (IRR) then the IRR value is below 0%.</t>
  </si>
  <si>
    <t>years</t>
  </si>
  <si>
    <t>Payback period against investment (years)</t>
  </si>
  <si>
    <t>Basic monthly connection fee</t>
  </si>
  <si>
    <t>Annual electricity price increase</t>
  </si>
  <si>
    <t xml:space="preserve">Electricity price increase/year: </t>
  </si>
  <si>
    <t>Electricity costs:</t>
  </si>
  <si>
    <t>System Life Cycle Costs (25 years)</t>
  </si>
  <si>
    <t>Accumulated cash flow</t>
  </si>
  <si>
    <t>Petrol</t>
  </si>
  <si>
    <t>LPG</t>
  </si>
  <si>
    <r>
      <t>kg of CO</t>
    </r>
    <r>
      <rPr>
        <sz val="7.5"/>
        <rFont val="Arial"/>
        <family val="2"/>
      </rPr>
      <t>2</t>
    </r>
    <r>
      <rPr>
        <sz val="11"/>
        <rFont val="Arial"/>
        <family val="2"/>
      </rPr>
      <t>/liter</t>
    </r>
  </si>
  <si>
    <t>Assumptions Fuel Costs</t>
  </si>
  <si>
    <t>Pump's fuel demand:</t>
  </si>
  <si>
    <t xml:space="preserve">Fuel needed per day: </t>
  </si>
  <si>
    <t>Fuel needed per year:</t>
  </si>
  <si>
    <t>Cost Fuel</t>
  </si>
  <si>
    <t>Fuel cost per year:</t>
  </si>
  <si>
    <t>Fuel costs:</t>
  </si>
  <si>
    <t>System Life Cycle Costs (25years)</t>
  </si>
  <si>
    <t>Emission factor:</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</si>
  <si>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</si>
  <si>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</si>
  <si>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r>
      <rPr>
        <b/>
        <sz val="10"/>
        <color theme="1"/>
        <rFont val="Arial"/>
        <family val="2"/>
      </rPr>
      <t>Published by</t>
    </r>
    <r>
      <rPr>
        <sz val="10"/>
        <color theme="1"/>
        <rFont val="Arial"/>
        <family val="2"/>
      </rPr>
      <t xml:space="preserve">: </t>
    </r>
  </si>
  <si>
    <t>GIZ &amp; FAO</t>
  </si>
  <si>
    <t>GIZ project Sustainable Energy for Food - Powering Agriculture</t>
  </si>
  <si>
    <r>
      <rPr>
        <b/>
        <sz val="10"/>
        <color theme="1"/>
        <rFont val="Arial"/>
        <family val="2"/>
      </rPr>
      <t>Contact</t>
    </r>
    <r>
      <rPr>
        <sz val="10"/>
        <color theme="1"/>
        <rFont val="Arial"/>
        <family val="2"/>
      </rPr>
      <t xml:space="preserve">: </t>
    </r>
  </si>
  <si>
    <t>Powering.Agriculture@giz.de</t>
  </si>
  <si>
    <r>
      <rPr>
        <b/>
        <sz val="10"/>
        <color theme="1"/>
        <rFont val="Arial"/>
        <family val="2"/>
      </rPr>
      <t>Download link</t>
    </r>
    <r>
      <rPr>
        <sz val="10"/>
        <color theme="1"/>
        <rFont val="Arial"/>
        <family val="2"/>
      </rPr>
      <t xml:space="preserve">: </t>
    </r>
  </si>
  <si>
    <t>https://energypedia.info/wiki/Toolbox_on_SPIS</t>
  </si>
  <si>
    <t xml:space="preserve">About: </t>
  </si>
  <si>
    <t xml:space="preserve">Powering Agriculture: An Energy Grand Challenge for Development. Available at:  </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</si>
  <si>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</si>
  <si>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</si>
  <si>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</si>
  <si>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</si>
  <si>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</si>
  <si>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 xml:space="preserve">This tool allows for a comparative assessment between income and three different irrigation pumping options. Information required for using this tool includes investment and operational costs for the different pumping systems, anticipated income from agricultural production and basic economic conditions (e.g. inflation rate). An alternative tool is available under: </t>
  </si>
  <si>
    <t>% of profit made available for investment into water pumping system</t>
  </si>
  <si>
    <t>Proportion of Profit to invest</t>
  </si>
  <si>
    <t>Percentage profit to invest</t>
  </si>
  <si>
    <t>Total investment amount per year</t>
  </si>
  <si>
    <t>Capital investment per year:</t>
  </si>
  <si>
    <r>
      <rPr>
        <b/>
        <sz val="10"/>
        <color theme="1"/>
        <rFont val="Arial"/>
        <family val="2"/>
      </rPr>
      <t>Responsible</t>
    </r>
    <r>
      <rPr>
        <sz val="10"/>
        <color theme="1"/>
        <rFont val="Arial"/>
        <family val="2"/>
      </rPr>
      <t>:</t>
    </r>
  </si>
  <si>
    <t>INVEST – Payback Tool</t>
  </si>
  <si>
    <t>INVEST - Payback Tool</t>
  </si>
  <si>
    <t>the rate at which the grid electricity prices will increase every year (provided by national electricity regulator or utility)</t>
  </si>
  <si>
    <t>the rate at which the fuel (Diesel, petrol or LPG) will increase every year (as provided by national regulator or from national energy statistics)</t>
  </si>
  <si>
    <t>the rate at which the farmer will increase prices every year (calculated as per own records)</t>
  </si>
  <si>
    <t>the national percentage rate for the devaluation of money per year (provided by national statistics)</t>
  </si>
  <si>
    <t>Inverter (if pump is DC)</t>
  </si>
  <si>
    <r>
      <t>the annual rate used to determine the present value of future cash flows (Tip: simplified discount rate is often equal to</t>
    </r>
    <r>
      <rPr>
        <b/>
        <sz val="11"/>
        <color theme="1"/>
        <rFont val="Arial"/>
        <family val="2"/>
      </rPr>
      <t xml:space="preserve"> interest rate earned</t>
    </r>
    <r>
      <rPr>
        <sz val="11"/>
        <color theme="1"/>
        <rFont val="Arial"/>
        <family val="2"/>
      </rPr>
      <t xml:space="preserve"> from bank savings or treasury bonds)</t>
    </r>
  </si>
  <si>
    <t>Income: Gross Farm Profit per year</t>
  </si>
  <si>
    <t>Income-Gross farm profit/year:</t>
  </si>
  <si>
    <r>
      <t>m³ per day</t>
    </r>
    <r>
      <rPr>
        <sz val="11"/>
        <color theme="1"/>
        <rFont val="Arial"/>
        <family val="2"/>
      </rPr>
      <t xml:space="preserve"> </t>
    </r>
  </si>
  <si>
    <t>Cost of water</t>
  </si>
  <si>
    <t>Mounting Structures</t>
  </si>
  <si>
    <t>Subsidy</t>
  </si>
  <si>
    <t>Subsidy amount on Capital Costs</t>
  </si>
  <si>
    <t>Total maximum water pumped per day</t>
  </si>
  <si>
    <t>Average water cost over 25 years</t>
  </si>
  <si>
    <t>Water cost</t>
  </si>
  <si>
    <t>25 years</t>
  </si>
  <si>
    <t>10 years</t>
  </si>
  <si>
    <t>5 years</t>
  </si>
  <si>
    <t>Solar powered irrigation system</t>
  </si>
  <si>
    <t>Grid powered irrigation system</t>
  </si>
  <si>
    <t>Diesel powered irrigation system</t>
  </si>
  <si>
    <t xml:space="preserve">Cost assumptions for: </t>
  </si>
  <si>
    <t>Water levy</t>
  </si>
  <si>
    <t>Water levy (surcharge for water utilisation rights)</t>
  </si>
  <si>
    <r>
      <t xml:space="preserve">as calculated in </t>
    </r>
    <r>
      <rPr>
        <u/>
        <sz val="11"/>
        <color theme="1"/>
        <rFont val="Arial"/>
        <family val="2"/>
      </rPr>
      <t>SAFEGUARD WATER-Water Requirement Tool</t>
    </r>
    <r>
      <rPr>
        <sz val="11"/>
        <color theme="1"/>
        <rFont val="Arial"/>
        <family val="2"/>
      </rPr>
      <t xml:space="preserve"> or provided by pump supplier</t>
    </r>
  </si>
  <si>
    <r>
      <t>as calculated in I</t>
    </r>
    <r>
      <rPr>
        <u/>
        <sz val="11"/>
        <color theme="1"/>
        <rFont val="Arial"/>
        <family val="2"/>
      </rPr>
      <t>NVEST-Farm Analysis Tool</t>
    </r>
    <r>
      <rPr>
        <sz val="11"/>
        <color theme="1"/>
        <rFont val="Arial"/>
        <family val="2"/>
      </rPr>
      <t xml:space="preserve"> or from own records</t>
    </r>
  </si>
  <si>
    <t>Net Present Value (NPV) over 25 years</t>
  </si>
  <si>
    <t>Add grid emissions factor:</t>
  </si>
  <si>
    <t>Search grid emissions factor for countries:</t>
  </si>
  <si>
    <t>https://ecometrica.com/assets/Electricity-specific-emission-factors-for-grid-electricity.pdf</t>
  </si>
  <si>
    <r>
      <t>kgCO</t>
    </r>
    <r>
      <rPr>
        <sz val="7.5"/>
        <rFont val="Arial"/>
        <family val="2"/>
      </rPr>
      <t>2</t>
    </r>
    <r>
      <rPr>
        <sz val="11"/>
        <rFont val="Arial"/>
        <family val="2"/>
      </rPr>
      <t>/kWh</t>
    </r>
  </si>
  <si>
    <r>
      <t>the water price per m</t>
    </r>
    <r>
      <rPr>
        <vertAlign val="superscript"/>
        <sz val="11"/>
        <color theme="1"/>
        <rFont val="Arial"/>
        <family val="2"/>
      </rPr>
      <t xml:space="preserve">3 </t>
    </r>
    <r>
      <rPr>
        <sz val="11"/>
        <color theme="1"/>
        <rFont val="Arial"/>
        <family val="2"/>
      </rPr>
      <t>as determined by government, local authority for utilising shared water resources with own pumping systems</t>
    </r>
  </si>
  <si>
    <t>Source:</t>
  </si>
  <si>
    <t>https://www.gov.uk/government/publications/greenhouse-gas-reporting-conversion-factors-2018</t>
  </si>
  <si>
    <r>
      <t>CO</t>
    </r>
    <r>
      <rPr>
        <vertAlign val="superscript"/>
        <sz val="11"/>
        <color theme="1"/>
        <rFont val="Arial"/>
        <family val="2"/>
      </rPr>
      <t>2</t>
    </r>
    <r>
      <rPr>
        <sz val="11"/>
        <color theme="1"/>
        <rFont val="Arial"/>
        <family val="2"/>
      </rPr>
      <t xml:space="preserve"> - Emissions per year:</t>
    </r>
  </si>
  <si>
    <t>Yearly Loan Repayment:</t>
  </si>
  <si>
    <t>Accumulated Cash Flow after Year 25</t>
  </si>
  <si>
    <t>Years for Payback</t>
  </si>
  <si>
    <t>Assumptions Electricity Connection costs</t>
  </si>
  <si>
    <t>If "no payback" is displayed for Years for Payback then system capital and/or operating expenses exceed income within 25 years</t>
  </si>
  <si>
    <t>Internal Rate of Return (IRR 25 Years)</t>
  </si>
  <si>
    <t>Internal Rate of Return (IRR 25 years)</t>
  </si>
  <si>
    <t>Highly quality dependent!</t>
  </si>
  <si>
    <t>enter any currency</t>
  </si>
  <si>
    <t xml:space="preserve"> 1.5 (November 2018)</t>
  </si>
  <si>
    <r>
      <t>CO</t>
    </r>
    <r>
      <rPr>
        <vertAlign val="superscript"/>
        <sz val="18"/>
        <color theme="1"/>
        <rFont val="Arial"/>
        <family val="2"/>
      </rPr>
      <t>2</t>
    </r>
    <r>
      <rPr>
        <sz val="18"/>
        <color theme="1"/>
        <rFont val="Arial"/>
        <family val="2"/>
      </rPr>
      <t xml:space="preserve"> Emmissions per year:</t>
    </r>
  </si>
  <si>
    <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</si>
</sst>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39" x14ac:knownFonts="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u/>
      <sz val="11"/>
      <color theme="1"/>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b/>
      <sz val="18"/>
      <color rgb="FFC00000"/>
      <name val="Arial"/>
      <family val="2"/>
    </font>
    <font>
      <sz val="16"/>
      <color rgb="FFC00000"/>
      <name val="Arial"/>
      <family val="2"/>
    </font>
    <font>
      <b/>
      <i/>
      <sz val="11"/>
      <color rgb="FFFF0000"/>
      <name val="Arial"/>
      <family val="2"/>
    </font>
    <font>
      <sz val="18"/>
      <color theme="1"/>
      <name val="Arial"/>
      <family val="2"/>
    </font>
    <font>
      <b/>
      <sz val="20"/>
      <color rgb="FF9EA231"/>
      <name val="Arial"/>
      <family val="2"/>
    </font>
    <font>
      <vertAlign val="superscript"/>
      <sz val="18"/>
      <color theme="1"/>
      <name val="Arial"/>
      <family val="2"/>
    </font>
  </fonts>
  <fills count="21">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13">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1"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2"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18" xfId="0" applyFont="1" applyFill="1" applyBorder="1" applyAlignment="1"/>
    <xf numFmtId="0" fontId="4" fillId="11" borderId="0" xfId="0" applyFont="1" applyFill="1" applyBorder="1" applyAlignment="1">
      <alignment horizontal="center" vertical="center"/>
    </xf>
    <xf numFmtId="0" fontId="4" fillId="11" borderId="18" xfId="0" applyFont="1" applyFill="1" applyBorder="1" applyAlignment="1">
      <alignment horizont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3" fontId="4" fillId="12" borderId="24" xfId="7" applyNumberFormat="1" applyFont="1" applyFill="1" applyBorder="1"/>
    <xf numFmtId="173" fontId="4" fillId="12" borderId="23" xfId="7" applyNumberFormat="1" applyFont="1" applyFill="1" applyBorder="1"/>
    <xf numFmtId="173" fontId="4" fillId="0" borderId="26" xfId="7" applyNumberFormat="1" applyFont="1" applyFill="1" applyBorder="1" applyProtection="1">
      <protection locked="0"/>
    </xf>
    <xf numFmtId="173" fontId="4" fillId="0" borderId="9" xfId="7" applyNumberFormat="1" applyFont="1" applyFill="1" applyBorder="1" applyProtection="1">
      <protection locked="0"/>
    </xf>
    <xf numFmtId="173"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3"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43"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0" fontId="8" fillId="14" borderId="18" xfId="0" applyFont="1" applyFill="1" applyBorder="1" applyAlignment="1">
      <alignment horizontal="center"/>
    </xf>
    <xf numFmtId="0" fontId="8" fillId="14" borderId="0" xfId="0" applyFont="1" applyFill="1" applyBorder="1"/>
    <xf numFmtId="173" fontId="4" fillId="14" borderId="24" xfId="7" applyNumberFormat="1" applyFont="1" applyFill="1" applyBorder="1"/>
    <xf numFmtId="0" fontId="4" fillId="14" borderId="0" xfId="0" applyFont="1" applyFill="1" applyBorder="1" applyAlignment="1">
      <alignment horizontal="center"/>
    </xf>
    <xf numFmtId="173"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0"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3" fontId="4" fillId="15" borderId="23" xfId="7" applyNumberFormat="1" applyFont="1" applyFill="1" applyBorder="1" applyAlignment="1">
      <alignment horizontal="center"/>
    </xf>
    <xf numFmtId="173"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3"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3"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69" fontId="8" fillId="10" borderId="9" xfId="0" applyNumberFormat="1" applyFont="1" applyFill="1" applyBorder="1" applyAlignment="1" applyProtection="1">
      <alignment horizontal="center" vertical="center"/>
      <protection locked="0"/>
    </xf>
    <xf numFmtId="169"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3"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0" fontId="8" fillId="14" borderId="18" xfId="0" applyFont="1" applyFill="1" applyBorder="1"/>
    <xf numFmtId="43"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ont="1" applyFill="1" applyBorder="1" applyAlignment="1" applyProtection="1">
      <alignment horizontal="left"/>
    </xf>
    <xf numFmtId="0" fontId="22" fillId="6" borderId="0" xfId="1" applyFont="1" applyFill="1" applyBorder="1" applyAlignment="1" applyProtection="1">
      <alignment horizontal="left"/>
    </xf>
    <xf numFmtId="14" fontId="22" fillId="6" borderId="0" xfId="1" applyNumberFormat="1" applyFont="1" applyFill="1" applyBorder="1" applyAlignment="1" applyProtection="1">
      <alignment horizontal="right"/>
    </xf>
    <xf numFmtId="39" fontId="22" fillId="6" borderId="0" xfId="2" applyNumberFormat="1" applyFont="1" applyFill="1" applyBorder="1" applyAlignment="1" applyProtection="1">
      <alignment horizontal="right"/>
    </xf>
    <xf numFmtId="167" fontId="22" fillId="6" borderId="0" xfId="2" applyNumberFormat="1" applyFont="1" applyFill="1" applyBorder="1" applyAlignment="1" applyProtection="1">
      <alignment horizontal="right"/>
    </xf>
    <xf numFmtId="0" fontId="22" fillId="0" borderId="0" xfId="1" applyFont="1" applyBorder="1" applyAlignment="1" applyProtection="1">
      <alignment wrapText="1"/>
    </xf>
    <xf numFmtId="0" fontId="22"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3"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9"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8" fontId="0" fillId="15" borderId="0" xfId="0" applyNumberFormat="1" applyFont="1" applyFill="1" applyBorder="1"/>
    <xf numFmtId="0" fontId="23"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4" fillId="0" borderId="0" xfId="0" applyFont="1"/>
    <xf numFmtId="0" fontId="26" fillId="0" borderId="0" xfId="0" applyFont="1"/>
    <xf numFmtId="3" fontId="26" fillId="0" borderId="4" xfId="0" applyNumberFormat="1" applyFont="1" applyBorder="1" applyAlignment="1">
      <alignment horizontal="center"/>
    </xf>
    <xf numFmtId="3" fontId="26" fillId="0" borderId="5" xfId="0" applyNumberFormat="1" applyFont="1" applyBorder="1"/>
    <xf numFmtId="0" fontId="24" fillId="0" borderId="0" xfId="0" applyFont="1" applyAlignment="1">
      <alignment horizontal="center"/>
    </xf>
    <xf numFmtId="3" fontId="24" fillId="0" borderId="4" xfId="0" applyNumberFormat="1" applyFont="1" applyBorder="1" applyAlignment="1">
      <alignment horizontal="center"/>
    </xf>
    <xf numFmtId="3" fontId="24" fillId="0" borderId="5" xfId="0" applyNumberFormat="1" applyFont="1" applyBorder="1" applyAlignment="1">
      <alignment horizontal="center"/>
    </xf>
    <xf numFmtId="0" fontId="26" fillId="0" borderId="0" xfId="0" applyFont="1" applyAlignment="1">
      <alignment horizontal="center"/>
    </xf>
    <xf numFmtId="0" fontId="14" fillId="0" borderId="0" xfId="5" applyFont="1"/>
    <xf numFmtId="1" fontId="0" fillId="0" borderId="0" xfId="0" applyNumberFormat="1" applyFont="1"/>
    <xf numFmtId="3" fontId="26" fillId="0" borderId="0" xfId="0" applyNumberFormat="1" applyFont="1" applyBorder="1" applyAlignment="1">
      <alignment horizontal="center"/>
    </xf>
    <xf numFmtId="3" fontId="26" fillId="0" borderId="5" xfId="0" applyNumberFormat="1" applyFont="1" applyBorder="1" applyAlignment="1">
      <alignment horizontal="center"/>
    </xf>
    <xf numFmtId="9" fontId="0" fillId="0" borderId="0" xfId="0" applyNumberFormat="1" applyFont="1"/>
    <xf numFmtId="0" fontId="26" fillId="0" borderId="0" xfId="0" applyFont="1" applyAlignment="1">
      <alignment horizontal="left"/>
    </xf>
    <xf numFmtId="3" fontId="26" fillId="0" borderId="6" xfId="0" applyNumberFormat="1" applyFont="1" applyBorder="1" applyAlignment="1">
      <alignment horizontal="center"/>
    </xf>
    <xf numFmtId="3" fontId="26"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43"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8" fontId="0" fillId="14" borderId="0" xfId="0" applyNumberFormat="1" applyFont="1" applyFill="1" applyBorder="1"/>
    <xf numFmtId="0" fontId="0" fillId="14" borderId="0" xfId="0" applyFont="1" applyFill="1"/>
    <xf numFmtId="0" fontId="23"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9" fontId="0" fillId="0" borderId="0" xfId="0" applyNumberFormat="1" applyFont="1"/>
    <xf numFmtId="0" fontId="3" fillId="0" borderId="0" xfId="0" applyFont="1"/>
    <xf numFmtId="170" fontId="0" fillId="0" borderId="0" xfId="0" applyNumberFormat="1" applyFont="1"/>
    <xf numFmtId="0" fontId="23"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3" fontId="5" fillId="14" borderId="0" xfId="7" applyNumberFormat="1" applyFont="1" applyFill="1" applyBorder="1" applyAlignment="1" applyProtection="1">
      <alignment horizontal="center"/>
    </xf>
    <xf numFmtId="173" fontId="1" fillId="10" borderId="9" xfId="7" applyNumberFormat="1" applyFont="1" applyFill="1" applyBorder="1" applyProtection="1">
      <protection locked="0"/>
    </xf>
    <xf numFmtId="0" fontId="1" fillId="10" borderId="9" xfId="0" applyFont="1" applyFill="1" applyBorder="1" applyProtection="1">
      <protection locked="0"/>
    </xf>
    <xf numFmtId="0" fontId="28" fillId="11" borderId="0" xfId="0" applyFont="1" applyFill="1" applyBorder="1"/>
    <xf numFmtId="0" fontId="28" fillId="11" borderId="0" xfId="0" applyFont="1" applyFill="1"/>
    <xf numFmtId="0" fontId="28" fillId="11" borderId="0" xfId="0" applyFont="1" applyFill="1" applyAlignment="1"/>
    <xf numFmtId="0" fontId="29" fillId="11" borderId="0" xfId="5" applyFont="1" applyFill="1"/>
    <xf numFmtId="0" fontId="28" fillId="11" borderId="0" xfId="0" applyFont="1" applyFill="1" applyBorder="1" applyAlignment="1"/>
    <xf numFmtId="0" fontId="28" fillId="11" borderId="0" xfId="0" applyFont="1" applyFill="1" applyBorder="1" applyProtection="1">
      <protection locked="0"/>
    </xf>
    <xf numFmtId="0" fontId="28" fillId="11" borderId="38" xfId="0" applyFont="1" applyFill="1" applyBorder="1"/>
    <xf numFmtId="0" fontId="28" fillId="11" borderId="39" xfId="0" applyFont="1" applyFill="1" applyBorder="1"/>
    <xf numFmtId="0" fontId="28" fillId="11" borderId="40" xfId="0" applyFont="1" applyFill="1" applyBorder="1"/>
    <xf numFmtId="0" fontId="28" fillId="11" borderId="39" xfId="0" applyFont="1" applyFill="1" applyBorder="1" applyAlignment="1">
      <alignment horizontal="left"/>
    </xf>
    <xf numFmtId="2" fontId="0" fillId="0" borderId="0" xfId="0" applyNumberFormat="1" applyFont="1"/>
    <xf numFmtId="0" fontId="8" fillId="11" borderId="18" xfId="0" applyFont="1" applyFill="1" applyBorder="1"/>
    <xf numFmtId="43" fontId="0" fillId="0" borderId="0" xfId="7" applyFont="1" applyBorder="1"/>
    <xf numFmtId="43"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8" fillId="10" borderId="0" xfId="0" applyFont="1" applyFill="1" applyAlignment="1">
      <alignment vertical="center"/>
    </xf>
    <xf numFmtId="0" fontId="35" fillId="12" borderId="0" xfId="0" applyFont="1" applyFill="1" applyBorder="1"/>
    <xf numFmtId="0" fontId="35" fillId="15" borderId="0" xfId="0" applyFont="1" applyFill="1" applyBorder="1"/>
    <xf numFmtId="0" fontId="35" fillId="14" borderId="0" xfId="0" applyFont="1" applyFill="1" applyBorder="1"/>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4" fillId="10" borderId="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3"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43"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15" fillId="18" borderId="45" xfId="0" applyFont="1" applyFill="1" applyBorder="1"/>
    <xf numFmtId="0" fontId="4" fillId="18" borderId="45" xfId="0" applyFont="1" applyFill="1" applyBorder="1"/>
    <xf numFmtId="0" fontId="8" fillId="18" borderId="41" xfId="0" applyFont="1" applyFill="1" applyBorder="1"/>
    <xf numFmtId="0" fontId="1"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8" fillId="4" borderId="41" xfId="0" applyFont="1" applyFill="1" applyBorder="1"/>
    <xf numFmtId="0" fontId="1" fillId="4" borderId="42" xfId="0" applyFont="1" applyFill="1" applyBorder="1"/>
    <xf numFmtId="0" fontId="1" fillId="4" borderId="45"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8" fillId="19" borderId="41"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3"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4" xfId="0" applyFont="1" applyFill="1" applyBorder="1" applyAlignment="1">
      <alignment vertical="center"/>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2" fillId="10" borderId="0" xfId="0" applyFont="1" applyFill="1" applyAlignment="1">
      <alignment vertical="center"/>
    </xf>
    <xf numFmtId="0" fontId="36" fillId="11" borderId="36" xfId="0" applyFont="1" applyFill="1" applyBorder="1"/>
    <xf numFmtId="0" fontId="36" fillId="11" borderId="0" xfId="0" applyFont="1" applyFill="1" applyBorder="1"/>
    <xf numFmtId="0" fontId="36" fillId="11" borderId="0" xfId="0" applyFont="1" applyFill="1" applyBorder="1" applyAlignment="1">
      <alignment horizontal="left"/>
    </xf>
    <xf numFmtId="0" fontId="36" fillId="11" borderId="37" xfId="0" applyFont="1" applyFill="1" applyBorder="1"/>
    <xf numFmtId="3" fontId="36" fillId="11" borderId="0" xfId="0" applyNumberFormat="1" applyFont="1" applyFill="1" applyBorder="1" applyAlignment="1">
      <alignment horizontal="left"/>
    </xf>
    <xf numFmtId="9" fontId="36" fillId="11" borderId="0" xfId="6" applyFont="1" applyFill="1" applyBorder="1" applyAlignment="1">
      <alignment horizontal="left"/>
    </xf>
    <xf numFmtId="0" fontId="36" fillId="13" borderId="36" xfId="0" applyFont="1" applyFill="1" applyBorder="1" applyAlignment="1">
      <alignment horizontal="left"/>
    </xf>
    <xf numFmtId="0" fontId="36" fillId="13" borderId="0" xfId="0" applyFont="1" applyFill="1" applyBorder="1" applyAlignment="1">
      <alignment horizontal="left"/>
    </xf>
    <xf numFmtId="0" fontId="36" fillId="13" borderId="37" xfId="0" applyFont="1" applyFill="1" applyBorder="1" applyAlignment="1">
      <alignment horizontal="left"/>
    </xf>
    <xf numFmtId="0" fontId="36" fillId="11" borderId="0" xfId="0" applyFont="1" applyFill="1" applyAlignment="1">
      <alignment horizontal="left"/>
    </xf>
    <xf numFmtId="0" fontId="36" fillId="15" borderId="36" xfId="0" applyFont="1" applyFill="1" applyBorder="1" applyAlignment="1">
      <alignment horizontal="left"/>
    </xf>
    <xf numFmtId="0" fontId="36" fillId="15" borderId="0" xfId="0" applyFont="1" applyFill="1" applyBorder="1" applyAlignment="1">
      <alignment horizontal="left"/>
    </xf>
    <xf numFmtId="0" fontId="36" fillId="14" borderId="36" xfId="0" applyFont="1" applyFill="1" applyBorder="1" applyAlignment="1">
      <alignment horizontal="left"/>
    </xf>
    <xf numFmtId="0" fontId="36" fillId="14" borderId="0" xfId="0" applyFont="1" applyFill="1" applyBorder="1" applyAlignment="1">
      <alignment horizontal="left"/>
    </xf>
    <xf numFmtId="44" fontId="36" fillId="15" borderId="0" xfId="8" applyFont="1" applyFill="1" applyBorder="1" applyAlignment="1">
      <alignment horizontal="left"/>
    </xf>
    <xf numFmtId="44" fontId="36" fillId="14" borderId="0" xfId="8" applyFont="1" applyFill="1" applyBorder="1" applyAlignment="1">
      <alignment horizontal="left"/>
    </xf>
    <xf numFmtId="0" fontId="36" fillId="13" borderId="38" xfId="0" applyFont="1" applyFill="1" applyBorder="1" applyAlignment="1">
      <alignment horizontal="left"/>
    </xf>
    <xf numFmtId="0" fontId="36" fillId="13" borderId="39" xfId="0" applyFont="1" applyFill="1" applyBorder="1" applyAlignment="1">
      <alignment horizontal="left"/>
    </xf>
    <xf numFmtId="0" fontId="36" fillId="13" borderId="40" xfId="0" applyFont="1" applyFill="1" applyBorder="1" applyAlignment="1">
      <alignment horizontal="left"/>
    </xf>
    <xf numFmtId="0" fontId="36" fillId="15" borderId="38" xfId="0" applyFont="1" applyFill="1" applyBorder="1" applyAlignment="1">
      <alignment horizontal="left"/>
    </xf>
    <xf numFmtId="0" fontId="36" fillId="15" borderId="39" xfId="0" applyFont="1" applyFill="1" applyBorder="1" applyAlignment="1">
      <alignment horizontal="left"/>
    </xf>
    <xf numFmtId="0" fontId="36" fillId="14" borderId="38" xfId="0" applyFont="1" applyFill="1" applyBorder="1" applyAlignment="1">
      <alignment horizontal="left"/>
    </xf>
    <xf numFmtId="0" fontId="36" fillId="14" borderId="39" xfId="0" applyFont="1" applyFill="1" applyBorder="1" applyAlignment="1">
      <alignment horizontal="left"/>
    </xf>
    <xf numFmtId="9" fontId="36" fillId="13" borderId="0" xfId="6" applyFont="1" applyFill="1" applyBorder="1" applyAlignment="1">
      <alignment horizontal="right"/>
    </xf>
    <xf numFmtId="0" fontId="36" fillId="13" borderId="0" xfId="0" applyFont="1" applyFill="1" applyBorder="1" applyAlignment="1">
      <alignment horizontal="right"/>
    </xf>
    <xf numFmtId="3" fontId="36" fillId="13" borderId="0" xfId="0" applyNumberFormat="1" applyFont="1" applyFill="1" applyBorder="1" applyAlignment="1">
      <alignment horizontal="right"/>
    </xf>
    <xf numFmtId="44" fontId="36" fillId="13" borderId="0" xfId="8" applyFont="1" applyFill="1" applyBorder="1" applyAlignment="1">
      <alignment horizontal="right"/>
    </xf>
    <xf numFmtId="9" fontId="36" fillId="15" borderId="0" xfId="6" applyFont="1" applyFill="1" applyBorder="1" applyAlignment="1">
      <alignment horizontal="right"/>
    </xf>
    <xf numFmtId="0" fontId="36" fillId="15" borderId="0" xfId="0" applyFont="1" applyFill="1" applyBorder="1" applyAlignment="1">
      <alignment horizontal="right"/>
    </xf>
    <xf numFmtId="3" fontId="36" fillId="15" borderId="0" xfId="0" applyNumberFormat="1" applyFont="1" applyFill="1" applyBorder="1" applyAlignment="1">
      <alignment horizontal="right"/>
    </xf>
    <xf numFmtId="173" fontId="36" fillId="15" borderId="39" xfId="7" applyNumberFormat="1" applyFont="1" applyFill="1" applyBorder="1" applyAlignment="1">
      <alignment horizontal="right"/>
    </xf>
    <xf numFmtId="9" fontId="36" fillId="14" borderId="0" xfId="6" applyFont="1" applyFill="1" applyBorder="1" applyAlignment="1">
      <alignment horizontal="right"/>
    </xf>
    <xf numFmtId="0" fontId="36" fillId="14" borderId="0" xfId="0" applyFont="1" applyFill="1" applyBorder="1" applyAlignment="1">
      <alignment horizontal="right"/>
    </xf>
    <xf numFmtId="3" fontId="36" fillId="14" borderId="0" xfId="0" applyNumberFormat="1" applyFont="1" applyFill="1" applyBorder="1" applyAlignment="1">
      <alignment horizontal="right"/>
    </xf>
    <xf numFmtId="173" fontId="36" fillId="14" borderId="39" xfId="7" applyNumberFormat="1" applyFont="1" applyFill="1" applyBorder="1" applyAlignment="1">
      <alignment horizontal="right"/>
    </xf>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14" borderId="18" xfId="0" applyFont="1" applyFill="1" applyBorder="1" applyAlignment="1">
      <alignment horizontal="center" wrapText="1"/>
    </xf>
    <xf numFmtId="0" fontId="4" fillId="19" borderId="47" xfId="0" applyFont="1" applyFill="1" applyBorder="1" applyAlignment="1">
      <alignment horizontal="center"/>
    </xf>
    <xf numFmtId="0" fontId="4" fillId="19" borderId="2" xfId="0" applyFont="1" applyFill="1" applyBorder="1" applyAlignment="1">
      <alignment horizontal="center"/>
    </xf>
    <xf numFmtId="0" fontId="4" fillId="19" borderId="28" xfId="0" applyFont="1" applyFill="1" applyBorder="1" applyAlignment="1">
      <alignment horizontal="center"/>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horizontal="left" vertical="center" wrapText="1"/>
    </xf>
    <xf numFmtId="0" fontId="4" fillId="20" borderId="19" xfId="0" applyFont="1" applyFill="1" applyBorder="1" applyAlignment="1">
      <alignment horizontal="left" vertical="center" wrapText="1"/>
    </xf>
    <xf numFmtId="0" fontId="4" fillId="20" borderId="0" xfId="0" applyFont="1" applyFill="1" applyBorder="1" applyAlignment="1">
      <alignment horizontal="left" vertical="top" wrapText="1"/>
    </xf>
    <xf numFmtId="0" fontId="4" fillId="20" borderId="19" xfId="0" applyFont="1" applyFill="1" applyBorder="1" applyAlignment="1">
      <alignment horizontal="left" vertical="top" wrapText="1"/>
    </xf>
    <xf numFmtId="0" fontId="1" fillId="20" borderId="0" xfId="0" applyFont="1" applyFill="1" applyBorder="1" applyAlignment="1">
      <alignment horizontal="left" vertical="top" wrapText="1"/>
    </xf>
    <xf numFmtId="0" fontId="1" fillId="20" borderId="0" xfId="0" applyFont="1" applyFill="1" applyBorder="1" applyAlignment="1">
      <alignment horizontal="left" vertical="center" wrapText="1"/>
    </xf>
    <xf numFmtId="0" fontId="27" fillId="11" borderId="18" xfId="0" applyFont="1" applyFill="1" applyBorder="1" applyAlignment="1">
      <alignment horizontal="center"/>
    </xf>
    <xf numFmtId="0" fontId="27" fillId="11" borderId="0" xfId="0" applyFont="1" applyFill="1" applyBorder="1" applyAlignment="1">
      <alignment horizontal="center"/>
    </xf>
    <xf numFmtId="0" fontId="27" fillId="11" borderId="19" xfId="0" applyFont="1" applyFill="1" applyBorder="1" applyAlignment="1">
      <alignment horizontal="center"/>
    </xf>
    <xf numFmtId="0" fontId="8" fillId="12" borderId="18" xfId="0" applyFont="1" applyFill="1" applyBorder="1" applyAlignment="1">
      <alignment horizontal="center"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4" fillId="18" borderId="41" xfId="0" applyFont="1" applyFill="1" applyBorder="1" applyAlignment="1">
      <alignment horizontal="center"/>
    </xf>
    <xf numFmtId="0" fontId="4" fillId="18" borderId="42" xfId="0" applyFont="1" applyFill="1" applyBorder="1" applyAlignment="1">
      <alignment horizontal="center"/>
    </xf>
    <xf numFmtId="0" fontId="4"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34" fillId="17" borderId="0" xfId="0" applyFont="1" applyFill="1" applyBorder="1" applyAlignment="1">
      <alignment horizontal="center" vertical="center" wrapText="1"/>
    </xf>
    <xf numFmtId="0" fontId="33" fillId="17" borderId="0" xfId="0" applyFont="1" applyFill="1" applyBorder="1" applyAlignment="1">
      <alignment horizontal="center" vertical="center"/>
    </xf>
    <xf numFmtId="0" fontId="37" fillId="10" borderId="0" xfId="0" applyFont="1" applyFill="1" applyBorder="1" applyAlignment="1">
      <alignment horizontal="center"/>
    </xf>
    <xf numFmtId="0" fontId="30" fillId="11" borderId="33" xfId="0" applyFont="1" applyFill="1" applyBorder="1" applyAlignment="1">
      <alignment horizontal="center" vertical="center"/>
    </xf>
    <xf numFmtId="0" fontId="30" fillId="11" borderId="34" xfId="0" applyFont="1" applyFill="1" applyBorder="1" applyAlignment="1">
      <alignment horizontal="center" vertical="center"/>
    </xf>
    <xf numFmtId="0" fontId="30" fillId="11" borderId="35" xfId="0" applyFont="1" applyFill="1" applyBorder="1" applyAlignment="1">
      <alignment horizontal="center" vertical="center"/>
    </xf>
    <xf numFmtId="0" fontId="30" fillId="15" borderId="33" xfId="0" applyFont="1" applyFill="1" applyBorder="1" applyAlignment="1">
      <alignment horizontal="center" vertical="center" wrapText="1"/>
    </xf>
    <xf numFmtId="0" fontId="30" fillId="15" borderId="34" xfId="0" applyFont="1" applyFill="1" applyBorder="1" applyAlignment="1">
      <alignment horizontal="center" vertical="center" wrapText="1"/>
    </xf>
    <xf numFmtId="0" fontId="30" fillId="14" borderId="33" xfId="0" applyFont="1" applyFill="1" applyBorder="1" applyAlignment="1">
      <alignment horizontal="center" vertical="center" wrapText="1"/>
    </xf>
    <xf numFmtId="0" fontId="30" fillId="14" borderId="34" xfId="0" applyFont="1" applyFill="1" applyBorder="1" applyAlignment="1">
      <alignment horizontal="center" vertical="center" wrapText="1"/>
    </xf>
    <xf numFmtId="0" fontId="30" fillId="13" borderId="33" xfId="0" applyFont="1" applyFill="1" applyBorder="1" applyAlignment="1">
      <alignment horizontal="center" vertical="center" wrapText="1"/>
    </xf>
    <xf numFmtId="0" fontId="30" fillId="13" borderId="34" xfId="0" applyFont="1" applyFill="1" applyBorder="1" applyAlignment="1">
      <alignment horizontal="center" vertical="center" wrapText="1"/>
    </xf>
    <xf numFmtId="0" fontId="30" fillId="13" borderId="35" xfId="0" applyFont="1" applyFill="1" applyBorder="1" applyAlignment="1">
      <alignment horizontal="center" vertical="center" wrapText="1"/>
    </xf>
    <xf numFmtId="3" fontId="24" fillId="4" borderId="7" xfId="0" applyNumberFormat="1" applyFont="1" applyFill="1" applyBorder="1" applyAlignment="1">
      <alignment horizontal="center"/>
    </xf>
    <xf numFmtId="0" fontId="8" fillId="4" borderId="7" xfId="0" applyFont="1" applyFill="1" applyBorder="1" applyAlignment="1"/>
    <xf numFmtId="3" fontId="25" fillId="7" borderId="1" xfId="0" applyNumberFormat="1" applyFont="1" applyFill="1" applyBorder="1" applyAlignment="1">
      <alignment horizontal="center"/>
    </xf>
    <xf numFmtId="0" fontId="26" fillId="7" borderId="3" xfId="0" applyFont="1" applyFill="1" applyBorder="1" applyAlignment="1"/>
    <xf numFmtId="3" fontId="25" fillId="4" borderId="1" xfId="0" applyNumberFormat="1" applyFont="1" applyFill="1" applyBorder="1" applyAlignment="1">
      <alignment horizontal="center"/>
    </xf>
    <xf numFmtId="0" fontId="26" fillId="4" borderId="3" xfId="0" applyFont="1" applyFill="1" applyBorder="1" applyAlignment="1"/>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4" fillId="7" borderId="7" xfId="0" applyNumberFormat="1" applyFont="1" applyFill="1" applyBorder="1" applyAlignment="1">
      <alignment horizontal="center"/>
    </xf>
    <xf numFmtId="0" fontId="24" fillId="7" borderId="7"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xf numFmtId="173" fontId="1" fillId="0" borderId="9" xfId="7" applyNumberFormat="1" applyFont="1" applyFill="1" applyBorder="1" applyProtection="1">
      <protection locked="0"/>
    </xf>
    <xf numFmtId="173"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cellXfs>
  <cellStyles count="10">
    <cellStyle name="Currency 2" xfId="2"/>
    <cellStyle name="Komma" xfId="7" builtinId="3"/>
    <cellStyle name="Link" xfId="9" builtinId="8"/>
    <cellStyle name="Normal 2" xfId="1"/>
    <cellStyle name="Normal 2 2" xfId="3"/>
    <cellStyle name="Normal 3" xfId="4"/>
    <cellStyle name="Normal 4" xfId="5"/>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Net Present Value (NPV) over 25 years</c:v>
            </c:pt>
          </c:strCache>
        </c:strRef>
      </c:tx>
      <c:layout>
        <c:manualLayout>
          <c:xMode val="edge"/>
          <c:yMode val="edge"/>
          <c:x val="0.15162485275516524"/>
          <c:y val="2.5416118492531004E-2"/>
        </c:manualLayout>
      </c:layout>
      <c:overlay val="0"/>
      <c:txPr>
        <a:bodyPr/>
        <a:lstStyle/>
        <a:p>
          <a:pPr>
            <a:defRPr sz="2800"/>
          </a:pPr>
          <a:endParaRPr lang="en-US"/>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Calculation'!$E$187:$E$189</c:f>
              <c:strCache>
                <c:ptCount val="3"/>
                <c:pt idx="0">
                  <c:v>Solar powered irrigation system</c:v>
                </c:pt>
                <c:pt idx="1">
                  <c:v>Grid powered irrigation system</c:v>
                </c:pt>
                <c:pt idx="2">
                  <c:v>Diesel powered irrigation system</c:v>
                </c:pt>
              </c:strCache>
            </c:strRef>
          </c:cat>
          <c:val>
            <c:numRef>
              <c:f>'Cashflow Calculation'!$F$187:$F$189</c:f>
              <c:numCache>
                <c:formatCode>#,##0</c:formatCode>
                <c:ptCount val="3"/>
                <c:pt idx="0">
                  <c:v>4393862.8951089829</c:v>
                </c:pt>
                <c:pt idx="1">
                  <c:v>7815722.2998419944</c:v>
                </c:pt>
                <c:pt idx="2" formatCode="0">
                  <c:v>-2192816.4230000097</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pPr>
            <a:endParaRPr lang="en-US"/>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KES</c:v>
                </c:pt>
              </c:strCache>
            </c:strRef>
          </c:tx>
          <c:layout/>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Internal Rate of Return (IRR 25 Years)</c:v>
            </c:pt>
          </c:strCache>
        </c:strRef>
      </c:tx>
      <c:layout>
        <c:manualLayout>
          <c:xMode val="edge"/>
          <c:yMode val="edge"/>
          <c:x val="0.1147092843541396"/>
          <c:y val="2.0491980885681674E-2"/>
        </c:manualLayout>
      </c:layout>
      <c:overlay val="0"/>
      <c:txPr>
        <a:bodyPr/>
        <a:lstStyle/>
        <a:p>
          <a:pPr>
            <a:defRPr sz="2800"/>
          </a:pPr>
          <a:endParaRPr lang="en-US"/>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Calculation'!$H$187:$H$189</c:f>
              <c:strCache>
                <c:ptCount val="3"/>
                <c:pt idx="0">
                  <c:v>Solar powered irrigation system</c:v>
                </c:pt>
                <c:pt idx="1">
                  <c:v>Grid powered irrigation system</c:v>
                </c:pt>
                <c:pt idx="2">
                  <c:v>Diesel powered irrigation system</c:v>
                </c:pt>
              </c:strCache>
            </c:strRef>
          </c:cat>
          <c:val>
            <c:numRef>
              <c:f>'Cashflow Calculation'!$I$187:$I$189</c:f>
              <c:numCache>
                <c:formatCode>0%</c:formatCode>
                <c:ptCount val="3"/>
                <c:pt idx="0" formatCode="0.0%">
                  <c:v>0.28448383211560913</c:v>
                </c:pt>
                <c:pt idx="1">
                  <c:v>0.59027149588255101</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pPr>
            <a:endParaRPr lang="en-US"/>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en-US"/>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System Life Cycle Costs (25 years)</c:v>
            </c:pt>
          </c:strCache>
        </c:strRef>
      </c:tx>
      <c:layout>
        <c:manualLayout>
          <c:xMode val="edge"/>
          <c:yMode val="edge"/>
          <c:x val="0.13643332333381161"/>
          <c:y val="1.1866530497450565E-2"/>
        </c:manualLayout>
      </c:layout>
      <c:overlay val="0"/>
      <c:txPr>
        <a:bodyPr/>
        <a:lstStyle/>
        <a:p>
          <a:pPr>
            <a:defRPr sz="2800"/>
          </a:pPr>
          <a:endParaRPr lang="en-US"/>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Calculation'!$K$187:$K$189</c:f>
              <c:strCache>
                <c:ptCount val="3"/>
                <c:pt idx="0">
                  <c:v>Solar powered irrigation system</c:v>
                </c:pt>
                <c:pt idx="1">
                  <c:v>Grid powered irrigation system</c:v>
                </c:pt>
                <c:pt idx="2">
                  <c:v>Diesel powered irrigation system</c:v>
                </c:pt>
              </c:strCache>
            </c:strRef>
          </c:cat>
          <c:val>
            <c:numRef>
              <c:f>'Cashflow Calculation'!$L$187:$L$189</c:f>
              <c:numCache>
                <c:formatCode>#,##0</c:formatCode>
                <c:ptCount val="3"/>
                <c:pt idx="0">
                  <c:v>13972825.419210888</c:v>
                </c:pt>
                <c:pt idx="1">
                  <c:v>11910910.145731017</c:v>
                </c:pt>
                <c:pt idx="2" formatCode="0">
                  <c:v>23826118.944439229</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pPr>
            <a:endParaRPr lang="en-US"/>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KES</c:v>
                </c:pt>
              </c:strCache>
            </c:strRef>
          </c:tx>
          <c:layout/>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Accumulated Cash Flow after Year 25</c:v>
            </c:pt>
          </c:strCache>
        </c:strRef>
      </c:tx>
      <c:layout>
        <c:manualLayout>
          <c:xMode val="edge"/>
          <c:yMode val="edge"/>
          <c:x val="0.17732870235588569"/>
          <c:y val="3.2330771344285053E-2"/>
        </c:manualLayout>
      </c:layout>
      <c:overlay val="0"/>
      <c:txPr>
        <a:bodyPr/>
        <a:lstStyle/>
        <a:p>
          <a:pPr>
            <a:defRPr sz="2800"/>
          </a:pPr>
          <a:endParaRPr lang="en-US"/>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Calculation'!$N$187:$N$189</c:f>
              <c:strCache>
                <c:ptCount val="3"/>
                <c:pt idx="0">
                  <c:v>Solar powered irrigation system</c:v>
                </c:pt>
                <c:pt idx="1">
                  <c:v>Grid powered irrigation system</c:v>
                </c:pt>
                <c:pt idx="2">
                  <c:v>Diesel powered irrigation system</c:v>
                </c:pt>
              </c:strCache>
            </c:strRef>
          </c:cat>
          <c:val>
            <c:numRef>
              <c:f>'Cashflow Calculation'!$S$187:$S$189</c:f>
              <c:numCache>
                <c:formatCode>_(* #,##0.00_);_(* \(#,##0.00\);_(* "-"??_);_(@_)</c:formatCode>
                <c:ptCount val="3"/>
                <c:pt idx="0">
                  <c:v>7444213.7137060054</c:v>
                </c:pt>
                <c:pt idx="1">
                  <c:v>9506128.9871858768</c:v>
                </c:pt>
                <c:pt idx="2">
                  <c:v>-2409079.8115223348</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pPr>
            <a:endParaRPr lang="en-US"/>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KES</c:v>
                </c:pt>
              </c:strCache>
            </c:strRef>
          </c:tx>
          <c:layout/>
          <c:overlay val="0"/>
          <c:txPr>
            <a:bodyPr rot="-5400000" vert="horz"/>
            <a:lstStyle/>
            <a:p>
              <a:pPr>
                <a:defRPr sz="2400"/>
              </a:pPr>
              <a:endParaRPr lang="en-US"/>
            </a:p>
          </c:txPr>
        </c:title>
        <c:numFmt formatCode="_(* #,##0.00_);_(* \(#,##0.00\);_(* &quot;-&quot;??_);_(@_)" sourceLinked="1"/>
        <c:majorTickMark val="out"/>
        <c:minorTickMark val="none"/>
        <c:tickLblPos val="nextTo"/>
        <c:txPr>
          <a:bodyPr/>
          <a:lstStyle/>
          <a:p>
            <a:pPr>
              <a:defRPr sz="2000"/>
            </a:pPr>
            <a:endParaRPr lang="en-US"/>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KES</c:v>
            </c:pt>
          </c:strCache>
        </c:strRef>
      </c:tx>
      <c:layout>
        <c:manualLayout>
          <c:xMode val="edge"/>
          <c:yMode val="edge"/>
          <c:x val="0.15446318298552095"/>
          <c:y val="1.6337225088243281E-2"/>
        </c:manualLayout>
      </c:layout>
      <c:overlay val="0"/>
      <c:txPr>
        <a:bodyPr/>
        <a:lstStyle/>
        <a:p>
          <a:pPr>
            <a:defRPr sz="3200"/>
          </a:pPr>
          <a:endParaRPr lang="en-US"/>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217770</c:v>
                </c:pt>
                <c:pt idx="2">
                  <c:v>457317</c:v>
                </c:pt>
                <c:pt idx="3">
                  <c:v>720818.70000000007</c:v>
                </c:pt>
                <c:pt idx="4">
                  <c:v>1010670.5700000002</c:v>
                </c:pt>
                <c:pt idx="5">
                  <c:v>1329507.6270000003</c:v>
                </c:pt>
                <c:pt idx="6">
                  <c:v>1680228.3897000006</c:v>
                </c:pt>
                <c:pt idx="7">
                  <c:v>2066021.228670001</c:v>
                </c:pt>
                <c:pt idx="8">
                  <c:v>2490393.3515370013</c:v>
                </c:pt>
                <c:pt idx="9">
                  <c:v>2957202.6866907016</c:v>
                </c:pt>
                <c:pt idx="10">
                  <c:v>3470692.9553597723</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830000</c:v>
                </c:pt>
                <c:pt idx="1">
                  <c:v>836000</c:v>
                </c:pt>
                <c:pt idx="2">
                  <c:v>842690</c:v>
                </c:pt>
                <c:pt idx="3">
                  <c:v>850149.35</c:v>
                </c:pt>
                <c:pt idx="4">
                  <c:v>858466.52524999995</c:v>
                </c:pt>
                <c:pt idx="5">
                  <c:v>1126243.1806582813</c:v>
                </c:pt>
                <c:pt idx="6">
                  <c:v>1136583.3008584625</c:v>
                </c:pt>
                <c:pt idx="7">
                  <c:v>1576615.7327440092</c:v>
                </c:pt>
                <c:pt idx="8">
                  <c:v>1589470.8286798797</c:v>
                </c:pt>
                <c:pt idx="9">
                  <c:v>1603804.2606483751</c:v>
                </c:pt>
                <c:pt idx="10">
                  <c:v>2065278.0612690658</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350000</c:v>
                </c:pt>
                <c:pt idx="1">
                  <c:v>368474.5</c:v>
                </c:pt>
                <c:pt idx="2">
                  <c:v>388601.96</c:v>
                </c:pt>
                <c:pt idx="3">
                  <c:v>410534.74180000002</c:v>
                </c:pt>
                <c:pt idx="4">
                  <c:v>434439.71051900001</c:v>
                </c:pt>
                <c:pt idx="5">
                  <c:v>943038.60368877009</c:v>
                </c:pt>
                <c:pt idx="6">
                  <c:v>971453.83169309609</c:v>
                </c:pt>
                <c:pt idx="7">
                  <c:v>1002443.8647769401</c:v>
                </c:pt>
                <c:pt idx="8">
                  <c:v>1036249.3698331683</c:v>
                </c:pt>
                <c:pt idx="9">
                  <c:v>1073134.2555920244</c:v>
                </c:pt>
                <c:pt idx="10">
                  <c:v>1944973.1020655306</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510000</c:v>
                </c:pt>
                <c:pt idx="1">
                  <c:v>608466.66666666663</c:v>
                </c:pt>
                <c:pt idx="2">
                  <c:v>713122</c:v>
                </c:pt>
                <c:pt idx="3">
                  <c:v>1032401.6779166667</c:v>
                </c:pt>
                <c:pt idx="4">
                  <c:v>1151003.2427000001</c:v>
                </c:pt>
                <c:pt idx="5">
                  <c:v>1760006.7534685419</c:v>
                </c:pt>
                <c:pt idx="6">
                  <c:v>2183238.3737671538</c:v>
                </c:pt>
                <c:pt idx="7">
                  <c:v>2327516.719349524</c:v>
                </c:pt>
                <c:pt idx="8">
                  <c:v>2481889.6615138897</c:v>
                </c:pt>
                <c:pt idx="9">
                  <c:v>3046802.5984625909</c:v>
                </c:pt>
                <c:pt idx="10">
                  <c:v>4055746.0085322713</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KES</c:v>
                </c:pt>
              </c:strCache>
            </c:strRef>
          </c:tx>
          <c:layout>
            <c:manualLayout>
              <c:xMode val="edge"/>
              <c:yMode val="edge"/>
              <c:x val="4.7206555193941499E-3"/>
              <c:y val="0.44357825938110129"/>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KES</c:v>
            </c:pt>
          </c:strCache>
        </c:strRef>
      </c:tx>
      <c:layout>
        <c:manualLayout>
          <c:xMode val="edge"/>
          <c:yMode val="edge"/>
          <c:x val="0.19581054223564648"/>
          <c:y val="2.1477373694046998E-2"/>
        </c:manualLayout>
      </c:layout>
      <c:overlay val="0"/>
      <c:txPr>
        <a:bodyPr/>
        <a:lstStyle/>
        <a:p>
          <a:pPr>
            <a:defRPr sz="2800"/>
          </a:pPr>
          <a:endParaRPr lang="en-US"/>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-830000</c:v>
                </c:pt>
                <c:pt idx="1">
                  <c:v>-618230</c:v>
                </c:pt>
                <c:pt idx="2">
                  <c:v>-385373</c:v>
                </c:pt>
                <c:pt idx="3">
                  <c:v>-129330.64999999991</c:v>
                </c:pt>
                <c:pt idx="4">
                  <c:v>152204.04475000023</c:v>
                </c:pt>
                <c:pt idx="5">
                  <c:v>203264.44634171901</c:v>
                </c:pt>
                <c:pt idx="6">
                  <c:v>543645.08884153818</c:v>
                </c:pt>
                <c:pt idx="7">
                  <c:v>489405.4959259918</c:v>
                </c:pt>
                <c:pt idx="8">
                  <c:v>900922.52285712166</c:v>
                </c:pt>
                <c:pt idx="9">
                  <c:v>1353398.4260423265</c:v>
                </c:pt>
                <c:pt idx="10">
                  <c:v>1405414.8940907065</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-350000</c:v>
                </c:pt>
                <c:pt idx="1">
                  <c:v>-150704.5</c:v>
                </c:pt>
                <c:pt idx="2">
                  <c:v>68715.039999999979</c:v>
                </c:pt>
                <c:pt idx="3">
                  <c:v>310283.95820000005</c:v>
                </c:pt>
                <c:pt idx="4">
                  <c:v>576230.85948100011</c:v>
                </c:pt>
                <c:pt idx="5">
                  <c:v>386469.02331123024</c:v>
                </c:pt>
                <c:pt idx="6">
                  <c:v>708774.55800690455</c:v>
                </c:pt>
                <c:pt idx="7">
                  <c:v>1063577.3638930609</c:v>
                </c:pt>
                <c:pt idx="8">
                  <c:v>1454143.981703833</c:v>
                </c:pt>
                <c:pt idx="9">
                  <c:v>1884068.4310986772</c:v>
                </c:pt>
                <c:pt idx="10">
                  <c:v>1525719.8532942417</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-510000</c:v>
                </c:pt>
                <c:pt idx="1">
                  <c:v>-390696.66666666663</c:v>
                </c:pt>
                <c:pt idx="2">
                  <c:v>-255805</c:v>
                </c:pt>
                <c:pt idx="3">
                  <c:v>-311582.97791666666</c:v>
                </c:pt>
                <c:pt idx="4">
                  <c:v>-140332.67269999988</c:v>
                </c:pt>
                <c:pt idx="5">
                  <c:v>-430499.12646854157</c:v>
                </c:pt>
                <c:pt idx="6">
                  <c:v>-503009.98406715319</c:v>
                </c:pt>
                <c:pt idx="7">
                  <c:v>-261495.49067952298</c:v>
                </c:pt>
                <c:pt idx="8">
                  <c:v>8503.6900231116451</c:v>
                </c:pt>
                <c:pt idx="9">
                  <c:v>-89599.91177188931</c:v>
                </c:pt>
                <c:pt idx="10">
                  <c:v>-585053.05317249894</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layout/>
          <c:overlay val="0"/>
        </c:title>
        <c:numFmt formatCode="General" sourceLinked="1"/>
        <c:majorTickMark val="out"/>
        <c:minorTickMark val="none"/>
        <c:tickLblPos val="nextTo"/>
        <c:txPr>
          <a:bodyPr/>
          <a:lstStyle/>
          <a:p>
            <a:pPr>
              <a:defRPr sz="2000"/>
            </a:pPr>
            <a:endParaRPr lang="en-US"/>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KES</c:v>
                </c:pt>
              </c:strCache>
            </c:strRef>
          </c:tx>
          <c:layout/>
          <c:overlay val="0"/>
          <c:txPr>
            <a:bodyPr rot="-5400000" vert="horz"/>
            <a:lstStyle/>
            <a:p>
              <a:pPr>
                <a:defRPr sz="2400"/>
              </a:pPr>
              <a:endParaRPr lang="en-US"/>
            </a:p>
          </c:txPr>
        </c:title>
        <c:numFmt formatCode="#,##0" sourceLinked="0"/>
        <c:majorTickMark val="out"/>
        <c:minorTickMark val="none"/>
        <c:tickLblPos val="nextTo"/>
        <c:txPr>
          <a:bodyPr/>
          <a:lstStyle/>
          <a:p>
            <a:pPr>
              <a:defRPr sz="1800"/>
            </a:pPr>
            <a:endParaRPr lang="en-US"/>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KES</c:v>
            </c:pt>
          </c:strCache>
        </c:strRef>
      </c:tx>
      <c:layout>
        <c:manualLayout>
          <c:xMode val="edge"/>
          <c:yMode val="edge"/>
          <c:x val="0.17714587842029561"/>
          <c:y val="2.2800972281978766E-2"/>
        </c:manualLayout>
      </c:layout>
      <c:overlay val="0"/>
      <c:txPr>
        <a:bodyPr/>
        <a:lstStyle/>
        <a:p>
          <a:pPr>
            <a:defRPr sz="3200"/>
          </a:pPr>
          <a:endParaRPr lang="en-US"/>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217770</c:v>
                </c:pt>
                <c:pt idx="2">
                  <c:v>457317</c:v>
                </c:pt>
                <c:pt idx="3">
                  <c:v>720818.70000000007</c:v>
                </c:pt>
                <c:pt idx="4">
                  <c:v>1010670.5700000002</c:v>
                </c:pt>
                <c:pt idx="5">
                  <c:v>1329507.6270000003</c:v>
                </c:pt>
                <c:pt idx="6">
                  <c:v>1680228.3897000006</c:v>
                </c:pt>
                <c:pt idx="7">
                  <c:v>2066021.228670001</c:v>
                </c:pt>
                <c:pt idx="8">
                  <c:v>2490393.3515370013</c:v>
                </c:pt>
                <c:pt idx="9">
                  <c:v>2957202.6866907016</c:v>
                </c:pt>
                <c:pt idx="10">
                  <c:v>3470692.9553597723</c:v>
                </c:pt>
                <c:pt idx="11">
                  <c:v>4035532.2508957498</c:v>
                </c:pt>
                <c:pt idx="12">
                  <c:v>4656855.4759853249</c:v>
                </c:pt>
                <c:pt idx="13">
                  <c:v>5340311.0235838583</c:v>
                </c:pt>
                <c:pt idx="14">
                  <c:v>6092112.1259422451</c:v>
                </c:pt>
                <c:pt idx="15">
                  <c:v>6919093.3385364702</c:v>
                </c:pt>
                <c:pt idx="16">
                  <c:v>7828772.6723901182</c:v>
                </c:pt>
                <c:pt idx="17">
                  <c:v>8829419.9396291301</c:v>
                </c:pt>
                <c:pt idx="18">
                  <c:v>9930131.9335920438</c:v>
                </c:pt>
                <c:pt idx="19">
                  <c:v>11140915.126951249</c:v>
                </c:pt>
                <c:pt idx="20">
                  <c:v>12472776.639646376</c:v>
                </c:pt>
                <c:pt idx="21">
                  <c:v>13937824.303611014</c:v>
                </c:pt>
                <c:pt idx="22">
                  <c:v>15549376.733972117</c:v>
                </c:pt>
                <c:pt idx="23">
                  <c:v>17322084.407369331</c:v>
                </c:pt>
                <c:pt idx="24">
                  <c:v>19272062.848106265</c:v>
                </c:pt>
                <c:pt idx="25">
                  <c:v>21417039.132916894</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830000</c:v>
                </c:pt>
                <c:pt idx="1">
                  <c:v>836000</c:v>
                </c:pt>
                <c:pt idx="2">
                  <c:v>842690</c:v>
                </c:pt>
                <c:pt idx="3">
                  <c:v>850149.35</c:v>
                </c:pt>
                <c:pt idx="4">
                  <c:v>858466.52524999995</c:v>
                </c:pt>
                <c:pt idx="5">
                  <c:v>1126243.1806582813</c:v>
                </c:pt>
                <c:pt idx="6">
                  <c:v>1136583.3008584625</c:v>
                </c:pt>
                <c:pt idx="7">
                  <c:v>1576615.7327440092</c:v>
                </c:pt>
                <c:pt idx="8">
                  <c:v>1589470.8286798797</c:v>
                </c:pt>
                <c:pt idx="9">
                  <c:v>1603804.2606483751</c:v>
                </c:pt>
                <c:pt idx="10">
                  <c:v>2065278.0612690658</c:v>
                </c:pt>
                <c:pt idx="11">
                  <c:v>2083097.7422280984</c:v>
                </c:pt>
                <c:pt idx="12">
                  <c:v>2102966.6864974201</c:v>
                </c:pt>
                <c:pt idx="13">
                  <c:v>2125120.5593577134</c:v>
                </c:pt>
                <c:pt idx="14">
                  <c:v>3067897.0804882189</c:v>
                </c:pt>
                <c:pt idx="15">
                  <c:v>3863179.5084302886</c:v>
                </c:pt>
                <c:pt idx="16">
                  <c:v>3893889.1156045017</c:v>
                </c:pt>
                <c:pt idx="17">
                  <c:v>3928130.3276037495</c:v>
                </c:pt>
                <c:pt idx="18">
                  <c:v>3966309.2789829108</c:v>
                </c:pt>
                <c:pt idx="19">
                  <c:v>4008878.8097706754</c:v>
                </c:pt>
                <c:pt idx="20">
                  <c:v>9392797.2487222757</c:v>
                </c:pt>
                <c:pt idx="21">
                  <c:v>11412711.019592065</c:v>
                </c:pt>
                <c:pt idx="22">
                  <c:v>11471720.72757075</c:v>
                </c:pt>
                <c:pt idx="23">
                  <c:v>11537516.551966984</c:v>
                </c:pt>
                <c:pt idx="24">
                  <c:v>11610878.896168785</c:v>
                </c:pt>
                <c:pt idx="25">
                  <c:v>13972825.419210888</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350000</c:v>
                </c:pt>
                <c:pt idx="1">
                  <c:v>368474.5</c:v>
                </c:pt>
                <c:pt idx="2">
                  <c:v>388601.96</c:v>
                </c:pt>
                <c:pt idx="3">
                  <c:v>410534.74180000002</c:v>
                </c:pt>
                <c:pt idx="4">
                  <c:v>434439.71051900001</c:v>
                </c:pt>
                <c:pt idx="5">
                  <c:v>943038.60368877009</c:v>
                </c:pt>
                <c:pt idx="6">
                  <c:v>971453.83169309609</c:v>
                </c:pt>
                <c:pt idx="7">
                  <c:v>1002443.8647769401</c:v>
                </c:pt>
                <c:pt idx="8">
                  <c:v>1036249.3698331683</c:v>
                </c:pt>
                <c:pt idx="9">
                  <c:v>1073134.2555920244</c:v>
                </c:pt>
                <c:pt idx="10">
                  <c:v>1944973.1020655306</c:v>
                </c:pt>
                <c:pt idx="11">
                  <c:v>1988913.2710738101</c:v>
                </c:pt>
                <c:pt idx="12">
                  <c:v>2036888.3942973902</c:v>
                </c:pt>
                <c:pt idx="13">
                  <c:v>2089281.0382533788</c:v>
                </c:pt>
                <c:pt idx="14">
                  <c:v>2146511.2483509383</c:v>
                </c:pt>
                <c:pt idx="15">
                  <c:v>3642155.3391265655</c:v>
                </c:pt>
                <c:pt idx="16">
                  <c:v>3710490.0711676744</c:v>
                </c:pt>
                <c:pt idx="17">
                  <c:v>3785187.2786479867</c:v>
                </c:pt>
                <c:pt idx="18">
                  <c:v>3866858.9647433688</c:v>
                </c:pt>
                <c:pt idx="19">
                  <c:v>3956177.9384749401</c:v>
                </c:pt>
                <c:pt idx="20">
                  <c:v>7008779.7324300706</c:v>
                </c:pt>
                <c:pt idx="21">
                  <c:v>7115686.7202262171</c:v>
                </c:pt>
                <c:pt idx="22">
                  <c:v>7232689.8692727024</c:v>
                </c:pt>
                <c:pt idx="23">
                  <c:v>7360774.3867256185</c:v>
                </c:pt>
                <c:pt idx="24">
                  <c:v>7501024.7104529915</c:v>
                </c:pt>
                <c:pt idx="25">
                  <c:v>11910910.145731017</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510000</c:v>
                </c:pt>
                <c:pt idx="1">
                  <c:v>608466.66666666663</c:v>
                </c:pt>
                <c:pt idx="2">
                  <c:v>713122</c:v>
                </c:pt>
                <c:pt idx="3">
                  <c:v>1032401.6779166667</c:v>
                </c:pt>
                <c:pt idx="4">
                  <c:v>1151003.2427000001</c:v>
                </c:pt>
                <c:pt idx="5">
                  <c:v>1760006.7534685419</c:v>
                </c:pt>
                <c:pt idx="6">
                  <c:v>2183238.3737671538</c:v>
                </c:pt>
                <c:pt idx="7">
                  <c:v>2327516.719349524</c:v>
                </c:pt>
                <c:pt idx="8">
                  <c:v>2481889.6615138897</c:v>
                </c:pt>
                <c:pt idx="9">
                  <c:v>3046802.5984625909</c:v>
                </c:pt>
                <c:pt idx="10">
                  <c:v>4055746.0085322713</c:v>
                </c:pt>
                <c:pt idx="11">
                  <c:v>4246191.8053681776</c:v>
                </c:pt>
                <c:pt idx="12">
                  <c:v>5004784.635944494</c:v>
                </c:pt>
                <c:pt idx="13">
                  <c:v>5225171.3394772289</c:v>
                </c:pt>
                <c:pt idx="14">
                  <c:v>5462681.2134738825</c:v>
                </c:pt>
                <c:pt idx="15">
                  <c:v>7919809.7513387296</c:v>
                </c:pt>
                <c:pt idx="16">
                  <c:v>8196662.3858868359</c:v>
                </c:pt>
                <c:pt idx="17">
                  <c:v>8496105.2285071965</c:v>
                </c:pt>
                <c:pt idx="18">
                  <c:v>9884604.5090262108</c:v>
                </c:pt>
                <c:pt idx="19">
                  <c:v>10236153.067051284</c:v>
                </c:pt>
                <c:pt idx="20">
                  <c:v>13572622.832453163</c:v>
                </c:pt>
                <c:pt idx="21">
                  <c:v>15462501.954348074</c:v>
                </c:pt>
                <c:pt idx="22">
                  <c:v>15913570.148015575</c:v>
                </c:pt>
                <c:pt idx="23">
                  <c:v>16404809.709921783</c:v>
                </c:pt>
                <c:pt idx="24">
                  <c:v>18985347.633078024</c:v>
                </c:pt>
                <c:pt idx="25">
                  <c:v>23826118.944439229</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KES</c:v>
                </c:pt>
              </c:strCache>
            </c:strRef>
          </c:tx>
          <c:layout>
            <c:manualLayout>
              <c:xMode val="edge"/>
              <c:yMode val="edge"/>
              <c:x val="7.2109987164013243E-3"/>
              <c:y val="0.45970109469118708"/>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KES /m³</c:v>
            </c:pt>
          </c:strCache>
        </c:strRef>
      </c:tx>
      <c:layout>
        <c:manualLayout>
          <c:xMode val="edge"/>
          <c:yMode val="edge"/>
          <c:x val="0.18107017700129957"/>
          <c:y val="2.0689655172413793E-2"/>
        </c:manualLayout>
      </c:layout>
      <c:overlay val="0"/>
      <c:txPr>
        <a:bodyPr/>
        <a:lstStyle/>
        <a:p>
          <a:pPr>
            <a:defRPr sz="2800"/>
          </a:pPr>
          <a:endParaRPr lang="en-US"/>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pPr>
                <a:endParaRPr lang="en-US"/>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Calculation'!$V$187:$V$189</c:f>
              <c:numCache>
                <c:formatCode>0.00</c:formatCode>
                <c:ptCount val="3"/>
                <c:pt idx="0">
                  <c:v>19.779472789924153</c:v>
                </c:pt>
                <c:pt idx="1">
                  <c:v>16.561970560041626</c:v>
                </c:pt>
                <c:pt idx="2">
                  <c:v>30.909848146619979</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pPr>
                <a:endParaRPr lang="en-US"/>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Calculation'!$W$187:$W$189</c:f>
              <c:numCache>
                <c:formatCode>0.00</c:formatCode>
                <c:ptCount val="3"/>
                <c:pt idx="0">
                  <c:v>19.784251951997945</c:v>
                </c:pt>
                <c:pt idx="1">
                  <c:v>18.631795210896932</c:v>
                </c:pt>
                <c:pt idx="2">
                  <c:v>38.851863287022425</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pPr>
                <a:endParaRPr lang="en-US"/>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Calculation'!$X$187:$X$189</c:f>
              <c:numCache>
                <c:formatCode>0.00</c:formatCode>
                <c:ptCount val="3"/>
                <c:pt idx="0">
                  <c:v>56.629753664630321</c:v>
                </c:pt>
                <c:pt idx="1">
                  <c:v>48.273122095043433</c:v>
                </c:pt>
                <c:pt idx="2">
                  <c:v>96.563665982164338</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KES</c:v>
                </c:pt>
              </c:strCache>
            </c:strRef>
          </c:tx>
          <c:layout/>
          <c:overlay val="0"/>
          <c:txPr>
            <a:bodyPr rot="-5400000" vert="horz"/>
            <a:lstStyle/>
            <a:p>
              <a:pPr>
                <a:defRPr sz="2400"/>
              </a:pPr>
              <a:endParaRPr lang="en-US"/>
            </a:p>
          </c:txPr>
        </c:title>
        <c:numFmt formatCode="0.00" sourceLinked="1"/>
        <c:majorTickMark val="out"/>
        <c:minorTickMark val="none"/>
        <c:tickLblPos val="nextTo"/>
        <c:txPr>
          <a:bodyPr/>
          <a:lstStyle/>
          <a:p>
            <a:pPr>
              <a:defRPr sz="2000"/>
            </a:pPr>
            <a:endParaRPr lang="en-US"/>
          </a:p>
        </c:txPr>
        <c:crossAx val="205315912"/>
        <c:crosses val="autoZero"/>
        <c:crossBetween val="between"/>
      </c:valAx>
      <c:dTable>
        <c:showHorzBorder val="1"/>
        <c:showVertBorder val="1"/>
        <c:showOutline val="1"/>
        <c:showKeys val="1"/>
        <c:txPr>
          <a:bodyPr/>
          <a:lstStyle/>
          <a:p>
            <a:pPr rtl="0">
              <a:defRPr sz="1600"/>
            </a:pPr>
            <a:endParaRPr lang="en-US"/>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hlinkClick xmlns:r="http://schemas.openxmlformats.org/officeDocument/2006/relationships" r:id="rId3"/>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Only enter values into white (non-coloured) cells only!</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cs typeface="Arial" panose="020B0604020202020204" pitchFamily="34" charset="0"/>
            </a:rPr>
            <a:t>Tool may contain illustrative sample values. Please adjust</a:t>
          </a:r>
          <a:r>
            <a:rPr lang="de-DE" sz="1000" baseline="0">
              <a:solidFill>
                <a:sysClr val="windowText" lastClr="000000"/>
              </a:solidFill>
              <a:effectLst/>
              <a:latin typeface="Arial" panose="020B0604020202020204" pitchFamily="34" charset="0"/>
              <a:cs typeface="Arial" panose="020B0604020202020204" pitchFamily="34" charset="0"/>
            </a:rPr>
            <a:t> or remove.</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None</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entry cells (coloured cells) are password protected.         </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Total water need per  day can be calculated with the SAFEGUARD WATER_Water Requirement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●Total income per year can be calculated with the INVEST_Farm Analysis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b="0" i="0">
              <a:solidFill>
                <a:schemeClr val="tx1"/>
              </a:solidFill>
              <a:effectLst/>
              <a:latin typeface="+mn-lt"/>
              <a:ea typeface="+mn-ea"/>
              <a:cs typeface="+mn-cs"/>
            </a:rPr>
            <a:t>●For</a:t>
          </a:r>
          <a:r>
            <a:rPr lang="de-DE" sz="1100" b="0" i="0" baseline="0">
              <a:solidFill>
                <a:schemeClr val="tx1"/>
              </a:solidFill>
              <a:effectLst/>
              <a:latin typeface="+mn-lt"/>
              <a:ea typeface="+mn-ea"/>
              <a:cs typeface="+mn-cs"/>
            </a:rPr>
            <a:t> password visit: https://energypedia.info/wiki/Toolbox_on_SPIS</a:t>
          </a:r>
          <a:endParaRPr lang="de-DE" sz="1000">
            <a:solidFill>
              <a:schemeClr val="tx1"/>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90</xdr:row>
      <xdr:rowOff>86203</xdr:rowOff>
    </xdr:from>
    <xdr:to>
      <xdr:col>8</xdr:col>
      <xdr:colOff>106814</xdr:colOff>
      <xdr:row>94</xdr:row>
      <xdr:rowOff>128306</xdr:rowOff>
    </xdr:to>
    <xdr:pic>
      <xdr:nvPicPr>
        <xdr:cNvPr id="5" name="Grafik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xdr:cNvGrpSpPr>
          <a:grpSpLocks noChangeAspect="1"/>
        </xdr:cNvGrpSpPr>
      </xdr:nvGrpSpPr>
      <xdr:grpSpPr>
        <a:xfrm>
          <a:off x="1423308" y="1857374"/>
          <a:ext cx="4248891" cy="532532"/>
          <a:chOff x="309337" y="3382268"/>
          <a:chExt cx="10920586" cy="1238051"/>
        </a:xfrm>
      </xdr:grpSpPr>
      <xdr:pic>
        <xdr:nvPicPr>
          <xdr:cNvPr id="17" name="Inhaltsplatzhalter 3"/>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fao.org/energy/agrifood-chains/power-irrigation-tool/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5"/>
  <sheetViews>
    <sheetView tabSelected="1" view="pageBreakPreview" zoomScaleNormal="100" zoomScaleSheetLayoutView="100" workbookViewId="0">
      <selection activeCell="F56" sqref="F56"/>
    </sheetView>
  </sheetViews>
  <sheetFormatPr baseColWidth="10" defaultColWidth="11.42578125" defaultRowHeight="12.75" x14ac:dyDescent="0.2"/>
  <cols>
    <col min="1" max="5" width="8.7109375" customWidth="1"/>
    <col min="6" max="6" width="4" customWidth="1"/>
    <col min="7" max="9" width="8.7109375" customWidth="1"/>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22" t="s">
        <v>65</v>
      </c>
      <c r="E11" s="422"/>
      <c r="F11" s="422"/>
      <c r="G11" s="422"/>
      <c r="H11" s="422"/>
      <c r="I11" s="422"/>
      <c r="J11" s="422"/>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423" t="s">
        <v>160</v>
      </c>
      <c r="E16" s="423"/>
      <c r="F16" s="423"/>
      <c r="G16" s="423"/>
      <c r="H16" s="423"/>
      <c r="I16" s="423"/>
      <c r="J16" s="423"/>
    </row>
    <row r="17" spans="4:10" ht="12.75" customHeight="1" x14ac:dyDescent="0.2"/>
    <row r="18" spans="4:10" ht="12.75" customHeight="1" x14ac:dyDescent="0.2">
      <c r="D18" s="415" t="s">
        <v>66</v>
      </c>
      <c r="E18" s="415"/>
      <c r="F18" s="415"/>
      <c r="G18" s="415"/>
      <c r="H18" s="415"/>
      <c r="I18" s="415"/>
      <c r="J18" s="415"/>
    </row>
    <row r="19" spans="4:10" ht="12.75" customHeight="1" x14ac:dyDescent="0.2">
      <c r="D19" s="413" t="s">
        <v>153</v>
      </c>
      <c r="E19" s="413"/>
      <c r="F19" s="413"/>
      <c r="G19" s="413"/>
      <c r="H19" s="413"/>
      <c r="I19" s="413"/>
      <c r="J19" s="413"/>
    </row>
    <row r="20" spans="4:10" ht="12.75" customHeight="1" x14ac:dyDescent="0.2">
      <c r="D20" s="413"/>
      <c r="E20" s="413"/>
      <c r="F20" s="413"/>
      <c r="G20" s="413"/>
      <c r="H20" s="413"/>
      <c r="I20" s="413"/>
      <c r="J20" s="413"/>
    </row>
    <row r="21" spans="4:10" ht="12.75" customHeight="1" x14ac:dyDescent="0.2">
      <c r="D21" s="413"/>
      <c r="E21" s="413"/>
      <c r="F21" s="413"/>
      <c r="G21" s="413"/>
      <c r="H21" s="413"/>
      <c r="I21" s="413"/>
      <c r="J21" s="413"/>
    </row>
    <row r="22" spans="4:10" ht="12.75" customHeight="1" x14ac:dyDescent="0.2">
      <c r="D22" s="413"/>
      <c r="E22" s="413"/>
      <c r="F22" s="413"/>
      <c r="G22" s="413"/>
      <c r="H22" s="413"/>
      <c r="I22" s="413"/>
      <c r="J22" s="413"/>
    </row>
    <row r="23" spans="4:10" ht="12.75" customHeight="1" x14ac:dyDescent="0.2">
      <c r="D23" s="413"/>
      <c r="E23" s="413"/>
      <c r="F23" s="413"/>
      <c r="G23" s="413"/>
      <c r="H23" s="413"/>
      <c r="I23" s="413"/>
      <c r="J23" s="413"/>
    </row>
    <row r="24" spans="4:10" ht="12.75" customHeight="1" x14ac:dyDescent="0.2">
      <c r="D24" s="411" t="s">
        <v>152</v>
      </c>
      <c r="E24" s="412"/>
      <c r="F24" s="412"/>
      <c r="G24" s="412"/>
      <c r="H24" s="412"/>
      <c r="I24" s="412"/>
      <c r="J24" s="412"/>
    </row>
    <row r="25" spans="4:10" ht="12.75" customHeight="1" x14ac:dyDescent="0.2">
      <c r="D25" s="143"/>
      <c r="E25" s="143"/>
      <c r="F25" s="143"/>
      <c r="G25" s="143"/>
      <c r="H25" s="143"/>
      <c r="I25" s="143"/>
      <c r="J25" s="143"/>
    </row>
    <row r="26" spans="4:10" ht="12.75" customHeight="1" x14ac:dyDescent="0.2">
      <c r="D26" s="415" t="s">
        <v>68</v>
      </c>
      <c r="E26" s="415"/>
      <c r="F26" s="415"/>
      <c r="G26" s="415"/>
      <c r="H26" s="415"/>
      <c r="I26" s="415"/>
      <c r="J26" s="415"/>
    </row>
    <row r="27" spans="4:10" ht="12.75" customHeight="1" x14ac:dyDescent="0.2"/>
    <row r="28" spans="4:10" ht="12.75" customHeight="1" x14ac:dyDescent="0.2"/>
    <row r="29" spans="4:10" ht="12.75" customHeight="1" x14ac:dyDescent="0.2"/>
    <row r="30" spans="4:10" ht="12.75" customHeight="1" x14ac:dyDescent="0.2"/>
    <row r="31" spans="4:10" ht="12.75" customHeight="1" x14ac:dyDescent="0.2"/>
    <row r="32" spans="4:10" ht="12.75" customHeight="1" x14ac:dyDescent="0.2"/>
    <row r="33" spans="4:10" ht="12.75" customHeight="1" x14ac:dyDescent="0.2"/>
    <row r="34" spans="4:10" ht="12.75" customHeight="1" x14ac:dyDescent="0.2">
      <c r="D34" s="141"/>
      <c r="E34" s="141"/>
      <c r="F34" s="141"/>
      <c r="G34" s="141"/>
      <c r="H34" s="141"/>
      <c r="I34" s="141"/>
      <c r="J34" s="141"/>
    </row>
    <row r="35" spans="4:10" ht="12.75" customHeight="1" x14ac:dyDescent="0.2">
      <c r="D35" s="141"/>
      <c r="E35" s="141"/>
      <c r="F35" s="141"/>
      <c r="G35" s="141"/>
      <c r="H35" s="141"/>
      <c r="I35" s="141"/>
      <c r="J35" s="141"/>
    </row>
    <row r="36" spans="4:10" ht="12.75" customHeight="1" x14ac:dyDescent="0.2">
      <c r="D36" s="141"/>
      <c r="E36" s="141"/>
      <c r="F36" s="141"/>
      <c r="G36" s="141"/>
      <c r="H36" s="141"/>
      <c r="I36" s="141"/>
      <c r="J36" s="141"/>
    </row>
    <row r="37" spans="4:10" ht="12.75" customHeight="1" x14ac:dyDescent="0.2">
      <c r="D37" s="415" t="s">
        <v>67</v>
      </c>
      <c r="E37" s="415"/>
      <c r="F37" s="415"/>
      <c r="G37" s="415"/>
      <c r="H37" s="415"/>
      <c r="I37" s="415"/>
      <c r="J37" s="415"/>
    </row>
    <row r="38" spans="4:10" ht="12.75" customHeight="1" x14ac:dyDescent="0.2">
      <c r="D38" t="s">
        <v>90</v>
      </c>
    </row>
    <row r="39" spans="4:10" ht="12.75" customHeight="1" thickBot="1" x14ac:dyDescent="0.25"/>
    <row r="40" spans="4:10" ht="12.75" customHeight="1" x14ac:dyDescent="0.2">
      <c r="D40" s="428" t="s">
        <v>150</v>
      </c>
      <c r="E40" s="429"/>
      <c r="F40" s="430"/>
      <c r="G40" s="416" t="s">
        <v>99</v>
      </c>
      <c r="H40" s="417"/>
      <c r="I40" s="417"/>
      <c r="J40" s="418"/>
    </row>
    <row r="41" spans="4:10" ht="12.75" customHeight="1" x14ac:dyDescent="0.2">
      <c r="D41" s="431"/>
      <c r="E41" s="432"/>
      <c r="F41" s="433"/>
      <c r="G41" s="425"/>
      <c r="H41" s="426"/>
      <c r="I41" s="426"/>
      <c r="J41" s="427"/>
    </row>
    <row r="42" spans="4:10" ht="12.75" customHeight="1" thickBot="1" x14ac:dyDescent="0.25">
      <c r="D42" s="434"/>
      <c r="E42" s="435"/>
      <c r="F42" s="436"/>
      <c r="G42" s="419"/>
      <c r="H42" s="420"/>
      <c r="I42" s="420"/>
      <c r="J42" s="421"/>
    </row>
    <row r="43" spans="4:10" ht="12.75" customHeight="1" x14ac:dyDescent="0.2">
      <c r="D43" s="428" t="s">
        <v>151</v>
      </c>
      <c r="E43" s="429"/>
      <c r="F43" s="430"/>
      <c r="G43" s="416" t="s">
        <v>100</v>
      </c>
      <c r="H43" s="417"/>
      <c r="I43" s="417"/>
      <c r="J43" s="418"/>
    </row>
    <row r="44" spans="4:10" ht="12.75" customHeight="1" thickBot="1" x14ac:dyDescent="0.25">
      <c r="D44" s="434"/>
      <c r="E44" s="435"/>
      <c r="F44" s="436"/>
      <c r="G44" s="419"/>
      <c r="H44" s="420"/>
      <c r="I44" s="420"/>
      <c r="J44" s="421"/>
    </row>
    <row r="45" spans="4:10" ht="12.75" customHeight="1" x14ac:dyDescent="0.2"/>
    <row r="46" spans="4:10" ht="12.75" customHeight="1" x14ac:dyDescent="0.2">
      <c r="D46" s="415" t="s">
        <v>69</v>
      </c>
      <c r="E46" s="415"/>
      <c r="F46" s="415"/>
      <c r="G46" s="415"/>
      <c r="H46" s="415"/>
      <c r="I46" s="415"/>
      <c r="J46" s="415"/>
    </row>
    <row r="47" spans="4:10" ht="12.75" customHeight="1" x14ac:dyDescent="0.2">
      <c r="D47" s="413" t="s">
        <v>139</v>
      </c>
      <c r="E47" s="413"/>
      <c r="F47" s="413" t="s">
        <v>140</v>
      </c>
      <c r="G47" s="413"/>
    </row>
    <row r="48" spans="4:10" ht="12.75" customHeight="1" x14ac:dyDescent="0.2">
      <c r="D48" s="413" t="s">
        <v>159</v>
      </c>
      <c r="E48" s="413"/>
      <c r="F48" s="413" t="s">
        <v>141</v>
      </c>
      <c r="G48" s="413"/>
      <c r="H48" s="413"/>
      <c r="I48" s="413"/>
      <c r="J48" s="413"/>
    </row>
    <row r="49" spans="4:10" ht="12.75" customHeight="1" x14ac:dyDescent="0.2">
      <c r="D49" s="413"/>
      <c r="E49" s="413"/>
      <c r="F49" s="413"/>
      <c r="G49" s="413"/>
      <c r="H49" s="413"/>
      <c r="I49" s="413"/>
      <c r="J49" s="413"/>
    </row>
    <row r="50" spans="4:10" ht="12.75" customHeight="1" x14ac:dyDescent="0.2">
      <c r="D50" s="413" t="s">
        <v>142</v>
      </c>
      <c r="E50" s="413"/>
      <c r="F50" s="414" t="s">
        <v>143</v>
      </c>
      <c r="G50" s="414"/>
      <c r="H50" s="414"/>
    </row>
    <row r="51" spans="4:10" ht="12.75" customHeight="1" x14ac:dyDescent="0.2">
      <c r="D51" s="424" t="s">
        <v>144</v>
      </c>
      <c r="E51" s="424"/>
      <c r="F51" s="437" t="s">
        <v>145</v>
      </c>
      <c r="G51" s="437"/>
      <c r="H51" s="437"/>
      <c r="I51" s="437"/>
      <c r="J51" s="437"/>
    </row>
    <row r="52" spans="4:10" ht="12.75" customHeight="1" x14ac:dyDescent="0.2">
      <c r="D52" s="438" t="s">
        <v>146</v>
      </c>
      <c r="E52" s="438"/>
      <c r="F52" s="413" t="s">
        <v>147</v>
      </c>
      <c r="G52" s="413"/>
      <c r="H52" s="413"/>
      <c r="I52" s="413"/>
      <c r="J52" s="413"/>
    </row>
    <row r="53" spans="4:10" s="142" customFormat="1" ht="12.75" customHeight="1" x14ac:dyDescent="0.2">
      <c r="D53" s="438"/>
      <c r="E53" s="438"/>
      <c r="F53" s="413"/>
      <c r="G53" s="413"/>
      <c r="H53" s="413"/>
      <c r="I53" s="413"/>
      <c r="J53" s="413"/>
    </row>
    <row r="54" spans="4:10" s="142" customFormat="1" ht="12.75" customHeight="1" x14ac:dyDescent="0.2">
      <c r="D54" s="438"/>
      <c r="E54" s="438"/>
      <c r="F54" s="414" t="s">
        <v>148</v>
      </c>
      <c r="G54" s="414"/>
      <c r="H54" s="414"/>
      <c r="I54" s="143"/>
      <c r="J54" s="143"/>
    </row>
    <row r="55" spans="4:10" ht="12.75" customHeight="1" x14ac:dyDescent="0.2">
      <c r="D55" s="413" t="s">
        <v>149</v>
      </c>
      <c r="E55" s="413"/>
      <c r="F55" s="413" t="s">
        <v>207</v>
      </c>
      <c r="G55" s="413"/>
      <c r="H55" s="413"/>
    </row>
    <row r="56" spans="4:10" ht="12.75" customHeight="1" x14ac:dyDescent="0.2"/>
    <row r="57" spans="4:10" ht="12.75" customHeight="1" x14ac:dyDescent="0.2">
      <c r="D57" s="413" t="s">
        <v>115</v>
      </c>
      <c r="E57" s="413"/>
      <c r="F57" s="413"/>
      <c r="G57" s="413"/>
      <c r="H57" s="413"/>
      <c r="I57" s="413"/>
      <c r="J57" s="413"/>
    </row>
    <row r="58" spans="4:10" ht="12.75" customHeight="1" x14ac:dyDescent="0.2">
      <c r="D58" s="413"/>
      <c r="E58" s="413"/>
      <c r="F58" s="413"/>
      <c r="G58" s="413"/>
      <c r="H58" s="413"/>
      <c r="I58" s="413"/>
      <c r="J58" s="413"/>
    </row>
    <row r="59" spans="4:10" ht="12.75" customHeight="1" x14ac:dyDescent="0.2">
      <c r="D59" s="413"/>
      <c r="E59" s="413"/>
      <c r="F59" s="413"/>
      <c r="G59" s="413"/>
      <c r="H59" s="413"/>
      <c r="I59" s="413"/>
      <c r="J59" s="413"/>
    </row>
    <row r="60" spans="4:10" ht="12.75" customHeight="1" x14ac:dyDescent="0.2">
      <c r="D60" s="413"/>
      <c r="E60" s="413"/>
      <c r="F60" s="413"/>
      <c r="G60" s="413"/>
      <c r="H60" s="413"/>
      <c r="I60" s="413"/>
      <c r="J60" s="413"/>
    </row>
    <row r="61" spans="4:10" ht="12.75" customHeight="1" x14ac:dyDescent="0.2">
      <c r="D61" s="413"/>
      <c r="E61" s="413"/>
      <c r="F61" s="413"/>
      <c r="G61" s="413"/>
      <c r="H61" s="413"/>
      <c r="I61" s="413"/>
      <c r="J61" s="413"/>
    </row>
    <row r="62" spans="4:10" ht="12.75" customHeight="1" x14ac:dyDescent="0.2">
      <c r="D62" s="413"/>
      <c r="E62" s="413"/>
      <c r="F62" s="413"/>
      <c r="G62" s="413"/>
      <c r="H62" s="413"/>
      <c r="I62" s="413"/>
      <c r="J62" s="413"/>
    </row>
    <row r="63" spans="4:10" ht="12.75" customHeight="1" x14ac:dyDescent="0.2">
      <c r="D63" s="413"/>
      <c r="E63" s="413"/>
      <c r="F63" s="413"/>
      <c r="G63" s="413"/>
      <c r="H63" s="413"/>
      <c r="I63" s="413"/>
      <c r="J63" s="413"/>
    </row>
    <row r="64" spans="4:10" ht="12.75" customHeight="1" x14ac:dyDescent="0.2">
      <c r="D64" s="413"/>
      <c r="E64" s="413"/>
      <c r="F64" s="413"/>
      <c r="G64" s="413"/>
      <c r="H64" s="413"/>
      <c r="I64" s="413"/>
      <c r="J64" s="413"/>
    </row>
    <row r="65" spans="4:10" ht="12.75" customHeight="1" x14ac:dyDescent="0.2">
      <c r="D65" s="413"/>
      <c r="E65" s="413"/>
      <c r="F65" s="413"/>
      <c r="G65" s="413"/>
      <c r="H65" s="413"/>
      <c r="I65" s="413"/>
      <c r="J65" s="413"/>
    </row>
    <row r="66" spans="4:10" ht="12.75" customHeight="1" x14ac:dyDescent="0.2">
      <c r="D66" s="413"/>
      <c r="E66" s="413"/>
      <c r="F66" s="413"/>
      <c r="G66" s="413"/>
      <c r="H66" s="413"/>
      <c r="I66" s="413"/>
      <c r="J66" s="413"/>
    </row>
    <row r="67" spans="4:10" ht="12.75" customHeight="1" x14ac:dyDescent="0.2">
      <c r="D67" s="413"/>
      <c r="E67" s="413"/>
      <c r="F67" s="413"/>
      <c r="G67" s="413"/>
      <c r="H67" s="413"/>
      <c r="I67" s="413"/>
      <c r="J67" s="413"/>
    </row>
    <row r="68" spans="4:10" ht="12.75" customHeight="1" x14ac:dyDescent="0.2">
      <c r="D68" s="413"/>
      <c r="E68" s="413"/>
      <c r="F68" s="413"/>
      <c r="G68" s="413"/>
      <c r="H68" s="413"/>
      <c r="I68" s="413"/>
      <c r="J68" s="413"/>
    </row>
    <row r="69" spans="4:10" ht="12.75" customHeight="1" x14ac:dyDescent="0.2"/>
    <row r="70" spans="4:10" ht="12.75" customHeight="1" x14ac:dyDescent="0.2">
      <c r="D70" s="413" t="s">
        <v>138</v>
      </c>
      <c r="E70" s="413"/>
      <c r="F70" s="413"/>
      <c r="G70" s="413"/>
      <c r="H70" s="413"/>
      <c r="I70" s="413"/>
      <c r="J70" s="413"/>
    </row>
    <row r="71" spans="4:10" ht="12.75" customHeight="1" x14ac:dyDescent="0.2">
      <c r="D71" s="413"/>
      <c r="E71" s="413"/>
      <c r="F71" s="413"/>
      <c r="G71" s="413"/>
      <c r="H71" s="413"/>
      <c r="I71" s="413"/>
      <c r="J71" s="413"/>
    </row>
    <row r="72" spans="4:10" ht="12.75" customHeight="1" x14ac:dyDescent="0.2">
      <c r="D72" s="413"/>
      <c r="E72" s="413"/>
      <c r="F72" s="413"/>
      <c r="G72" s="413"/>
      <c r="H72" s="413"/>
      <c r="I72" s="413"/>
      <c r="J72" s="413"/>
    </row>
    <row r="73" spans="4:10" ht="12.75" customHeight="1" x14ac:dyDescent="0.2">
      <c r="D73" s="413"/>
      <c r="E73" s="413"/>
      <c r="F73" s="413"/>
      <c r="G73" s="413"/>
      <c r="H73" s="413"/>
      <c r="I73" s="413"/>
      <c r="J73" s="413"/>
    </row>
    <row r="74" spans="4:10" ht="12.75" customHeight="1" x14ac:dyDescent="0.2">
      <c r="D74" s="413"/>
      <c r="E74" s="413"/>
      <c r="F74" s="413"/>
      <c r="G74" s="413"/>
      <c r="H74" s="413"/>
      <c r="I74" s="413"/>
      <c r="J74" s="413"/>
    </row>
    <row r="75" spans="4:10" ht="12.75" customHeight="1" x14ac:dyDescent="0.2">
      <c r="D75" s="413"/>
      <c r="E75" s="413"/>
      <c r="F75" s="413"/>
      <c r="G75" s="413"/>
      <c r="H75" s="413"/>
      <c r="I75" s="413"/>
      <c r="J75" s="413"/>
    </row>
    <row r="76" spans="4:10" ht="12.75" customHeight="1" x14ac:dyDescent="0.2">
      <c r="D76" s="413"/>
      <c r="E76" s="413"/>
      <c r="F76" s="413"/>
      <c r="G76" s="413"/>
      <c r="H76" s="413"/>
      <c r="I76" s="413"/>
      <c r="J76" s="413"/>
    </row>
    <row r="77" spans="4:10" ht="12.75" customHeight="1" x14ac:dyDescent="0.2">
      <c r="D77" s="413"/>
      <c r="E77" s="413"/>
      <c r="F77" s="413"/>
      <c r="G77" s="413"/>
      <c r="H77" s="413"/>
      <c r="I77" s="413"/>
      <c r="J77" s="413"/>
    </row>
    <row r="78" spans="4:10" ht="12.75" customHeight="1" x14ac:dyDescent="0.2">
      <c r="D78" s="413"/>
      <c r="E78" s="413"/>
      <c r="F78" s="413"/>
      <c r="G78" s="413"/>
      <c r="H78" s="413"/>
      <c r="I78" s="413"/>
      <c r="J78" s="413"/>
    </row>
    <row r="79" spans="4:10" ht="12.75" customHeight="1" x14ac:dyDescent="0.2">
      <c r="D79" s="413"/>
      <c r="E79" s="413"/>
      <c r="F79" s="413"/>
      <c r="G79" s="413"/>
      <c r="H79" s="413"/>
      <c r="I79" s="413"/>
      <c r="J79" s="413"/>
    </row>
    <row r="80" spans="4:10" ht="12.75" customHeight="1" x14ac:dyDescent="0.2">
      <c r="D80" s="413"/>
      <c r="E80" s="413"/>
      <c r="F80" s="413"/>
      <c r="G80" s="413"/>
      <c r="H80" s="413"/>
      <c r="I80" s="413"/>
      <c r="J80" s="413"/>
    </row>
    <row r="81" spans="4:10" ht="12.75" customHeight="1" x14ac:dyDescent="0.2">
      <c r="D81" s="413"/>
      <c r="E81" s="413"/>
      <c r="F81" s="413"/>
      <c r="G81" s="413"/>
      <c r="H81" s="413"/>
      <c r="I81" s="413"/>
      <c r="J81" s="413"/>
    </row>
    <row r="82" spans="4:10" ht="12.75" customHeight="1" x14ac:dyDescent="0.2">
      <c r="D82" s="413"/>
      <c r="E82" s="413"/>
      <c r="F82" s="413"/>
      <c r="G82" s="413"/>
      <c r="H82" s="413"/>
      <c r="I82" s="413"/>
      <c r="J82" s="413"/>
    </row>
    <row r="83" spans="4:10" ht="12.75" customHeight="1" x14ac:dyDescent="0.2">
      <c r="D83" s="413"/>
      <c r="E83" s="413"/>
      <c r="F83" s="413"/>
      <c r="G83" s="413"/>
      <c r="H83" s="413"/>
      <c r="I83" s="413"/>
      <c r="J83" s="413"/>
    </row>
    <row r="84" spans="4:10" ht="12.75" customHeight="1" x14ac:dyDescent="0.2"/>
    <row r="85" spans="4:10" ht="13.5" customHeight="1" x14ac:dyDescent="0.2">
      <c r="D85" s="413" t="s">
        <v>137</v>
      </c>
      <c r="E85" s="413"/>
      <c r="F85" s="413"/>
      <c r="G85" s="413"/>
      <c r="H85" s="413"/>
      <c r="I85" s="413"/>
      <c r="J85" s="413"/>
    </row>
    <row r="86" spans="4:10" ht="12.75" customHeight="1" x14ac:dyDescent="0.2">
      <c r="D86" s="413"/>
      <c r="E86" s="413"/>
      <c r="F86" s="413"/>
      <c r="G86" s="413"/>
      <c r="H86" s="413"/>
      <c r="I86" s="413"/>
      <c r="J86" s="413"/>
    </row>
    <row r="87" spans="4:10" ht="12.75" customHeight="1" x14ac:dyDescent="0.2">
      <c r="D87" s="413"/>
      <c r="E87" s="413"/>
      <c r="F87" s="413"/>
      <c r="G87" s="413"/>
      <c r="H87" s="413"/>
      <c r="I87" s="413"/>
      <c r="J87" s="413"/>
    </row>
    <row r="88" spans="4:10" ht="12.75" customHeight="1" x14ac:dyDescent="0.2">
      <c r="D88" s="413"/>
      <c r="E88" s="413"/>
      <c r="F88" s="413"/>
      <c r="G88" s="413"/>
      <c r="H88" s="413"/>
      <c r="I88" s="413"/>
      <c r="J88" s="413"/>
    </row>
    <row r="89" spans="4:10" ht="12.75" customHeight="1" x14ac:dyDescent="0.2">
      <c r="D89" s="413"/>
      <c r="E89" s="413"/>
      <c r="F89" s="413"/>
      <c r="G89" s="413"/>
      <c r="H89" s="413"/>
      <c r="I89" s="413"/>
      <c r="J89" s="413"/>
    </row>
    <row r="90" spans="4:10" ht="12.75" customHeight="1" x14ac:dyDescent="0.2">
      <c r="D90" s="413"/>
      <c r="E90" s="413"/>
      <c r="F90" s="413"/>
      <c r="G90" s="413"/>
      <c r="H90" s="413"/>
      <c r="I90" s="413"/>
      <c r="J90" s="413"/>
    </row>
    <row r="91" spans="4:10" ht="12.75" customHeight="1" x14ac:dyDescent="0.2">
      <c r="D91" s="413"/>
      <c r="E91" s="413"/>
      <c r="F91" s="413"/>
      <c r="G91" s="413"/>
      <c r="H91" s="413"/>
      <c r="I91" s="413"/>
      <c r="J91" s="413"/>
    </row>
    <row r="92" spans="4:10" ht="12.75" customHeight="1" x14ac:dyDescent="0.2"/>
    <row r="93" spans="4:10" ht="12.75" customHeight="1" x14ac:dyDescent="0.2">
      <c r="D93" s="424" t="s">
        <v>114</v>
      </c>
      <c r="E93" s="424"/>
      <c r="F93" s="424"/>
    </row>
    <row r="94" spans="4:10" ht="12.75" customHeight="1" x14ac:dyDescent="0.2"/>
    <row r="95" spans="4:10" ht="12.75" customHeight="1" x14ac:dyDescent="0.2"/>
  </sheetData>
  <sheetProtection algorithmName="SHA-512" hashValue="7Yjz5hj2hcrMJp7gt5GmyE7hj8eUm/kZa9kPgaUCSVewqffIWgRXg7ax201vO23+EphtCAK3U2MoU6XM1of4yg==" saltValue="DfrSftln+Sh/uaqf0/9UQg==" spinCount="100000" sheet="1" objects="1" scenarios="1"/>
  <mergeCells count="29">
    <mergeCell ref="D11:J11"/>
    <mergeCell ref="D16:J16"/>
    <mergeCell ref="D18:J18"/>
    <mergeCell ref="D85:J91"/>
    <mergeCell ref="D93:F93"/>
    <mergeCell ref="D19:J23"/>
    <mergeCell ref="G40:J42"/>
    <mergeCell ref="D40:F42"/>
    <mergeCell ref="D51:E51"/>
    <mergeCell ref="F51:J51"/>
    <mergeCell ref="D52:E54"/>
    <mergeCell ref="F52:J53"/>
    <mergeCell ref="F54:H54"/>
    <mergeCell ref="D55:E55"/>
    <mergeCell ref="F55:H55"/>
    <mergeCell ref="D43:F44"/>
    <mergeCell ref="D24:J24"/>
    <mergeCell ref="D70:J83"/>
    <mergeCell ref="D50:E50"/>
    <mergeCell ref="F50:H50"/>
    <mergeCell ref="D57:J68"/>
    <mergeCell ref="D46:J46"/>
    <mergeCell ref="D47:E47"/>
    <mergeCell ref="F47:G47"/>
    <mergeCell ref="G43:J44"/>
    <mergeCell ref="D48:E49"/>
    <mergeCell ref="F48:J49"/>
    <mergeCell ref="D37:J37"/>
    <mergeCell ref="D26:J26"/>
  </mergeCells>
  <hyperlinks>
    <hyperlink ref="F51:J51" r:id="rId1" display="https://energypedia.info/wiki/Toolbox_on_SPIS"/>
    <hyperlink ref="F50" r:id="rId2"/>
    <hyperlink ref="F54" r:id="rId3"/>
    <hyperlink ref="D24" r:id="rId4"/>
  </hyperlinks>
  <pageMargins left="0.7" right="0.7" top="0.78740157499999996" bottom="0.78740157499999996" header="0.3" footer="0.3"/>
  <pageSetup paperSize="9" scale="99" orientation="portrait" r:id="rId5"/>
  <rowBreaks count="1" manualBreakCount="1">
    <brk id="56"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20"/>
  <sheetViews>
    <sheetView showGridLines="0" view="pageBreakPreview" topLeftCell="E82" zoomScaleNormal="90" zoomScaleSheetLayoutView="100" zoomScalePageLayoutView="25" workbookViewId="0">
      <selection activeCell="I68" sqref="I68:K69"/>
    </sheetView>
  </sheetViews>
  <sheetFormatPr baseColWidth="10" defaultColWidth="11.42578125" defaultRowHeight="14.25" x14ac:dyDescent="0.2"/>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8" width="13" style="1" customWidth="1"/>
    <col min="9"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x14ac:dyDescent="0.2">
      <c r="B1" s="441" t="s">
        <v>161</v>
      </c>
      <c r="C1" s="441"/>
      <c r="D1" s="441"/>
      <c r="E1" s="441"/>
      <c r="F1" s="441"/>
      <c r="G1" s="441"/>
      <c r="H1" s="441"/>
      <c r="I1" s="441"/>
    </row>
    <row r="3" spans="1:23" ht="15" customHeight="1" x14ac:dyDescent="0.2">
      <c r="B3" s="1" t="s">
        <v>89</v>
      </c>
      <c r="C3" s="2"/>
      <c r="D3" s="2"/>
      <c r="E3" s="2"/>
      <c r="F3" s="2"/>
      <c r="G3" s="2"/>
      <c r="H3" s="2"/>
      <c r="I3" s="2"/>
      <c r="J3" s="2"/>
      <c r="K3" s="2"/>
      <c r="L3" s="2"/>
      <c r="M3" s="2"/>
      <c r="N3" s="2"/>
      <c r="O3" s="2"/>
      <c r="P3" s="2"/>
      <c r="Q3" s="2"/>
      <c r="R3" s="2"/>
      <c r="S3" s="2"/>
      <c r="T3" s="2"/>
      <c r="U3" s="2"/>
      <c r="V3" s="2"/>
      <c r="W3" s="2"/>
    </row>
    <row r="4" spans="1:23" ht="15" thickBot="1" x14ac:dyDescent="0.25">
      <c r="A4" s="39"/>
      <c r="B4" s="39"/>
      <c r="C4" s="39" t="s">
        <v>59</v>
      </c>
      <c r="D4" s="39"/>
      <c r="E4" s="39"/>
      <c r="F4" s="39"/>
      <c r="G4" s="39"/>
      <c r="H4" s="39"/>
      <c r="I4" s="39"/>
      <c r="J4" s="39"/>
      <c r="K4" s="39"/>
      <c r="L4" s="39"/>
      <c r="M4" s="39"/>
      <c r="N4" s="39"/>
      <c r="O4" s="39"/>
      <c r="P4" s="39"/>
      <c r="Q4" s="39"/>
      <c r="R4" s="39"/>
      <c r="S4" s="39"/>
      <c r="T4" s="39"/>
      <c r="U4" s="39"/>
      <c r="V4" s="39"/>
      <c r="W4" s="39"/>
    </row>
    <row r="5" spans="1:23" ht="15" customHeight="1" x14ac:dyDescent="0.2">
      <c r="B5" s="40"/>
      <c r="C5" s="41"/>
      <c r="D5" s="41"/>
      <c r="E5" s="41"/>
      <c r="F5" s="41"/>
      <c r="G5" s="41"/>
      <c r="H5" s="41"/>
      <c r="I5" s="41"/>
      <c r="J5" s="41"/>
      <c r="K5" s="42"/>
      <c r="V5" s="39"/>
      <c r="W5" s="39"/>
    </row>
    <row r="6" spans="1:23" ht="15" customHeight="1" x14ac:dyDescent="0.3">
      <c r="B6" s="454" t="s">
        <v>70</v>
      </c>
      <c r="C6" s="455"/>
      <c r="D6" s="455"/>
      <c r="E6" s="455"/>
      <c r="F6" s="455"/>
      <c r="G6" s="455"/>
      <c r="H6" s="455"/>
      <c r="I6" s="455"/>
      <c r="J6" s="455"/>
      <c r="K6" s="456"/>
      <c r="V6" s="39"/>
      <c r="W6" s="39"/>
    </row>
    <row r="7" spans="1:23" ht="15" customHeight="1" x14ac:dyDescent="0.2">
      <c r="B7" s="45"/>
      <c r="C7" s="43"/>
      <c r="D7" s="43"/>
      <c r="E7" s="43"/>
      <c r="F7" s="43"/>
      <c r="G7" s="43"/>
      <c r="H7" s="43"/>
      <c r="I7" s="43"/>
      <c r="J7" s="43"/>
      <c r="K7" s="44"/>
      <c r="V7" s="39"/>
      <c r="W7" s="39"/>
    </row>
    <row r="8" spans="1:23" ht="15" customHeight="1" x14ac:dyDescent="0.2">
      <c r="B8" s="46" t="s">
        <v>4</v>
      </c>
      <c r="C8" s="47"/>
      <c r="D8" s="43"/>
      <c r="E8" s="129" t="s">
        <v>209</v>
      </c>
      <c r="F8" s="374" t="s">
        <v>206</v>
      </c>
      <c r="G8" s="362"/>
      <c r="H8" s="362"/>
      <c r="I8" s="362"/>
      <c r="J8" s="362"/>
      <c r="K8" s="363"/>
      <c r="V8" s="39"/>
      <c r="W8" s="39"/>
    </row>
    <row r="9" spans="1:23" ht="15" customHeight="1" x14ac:dyDescent="0.2">
      <c r="B9" s="48"/>
      <c r="C9" s="130"/>
      <c r="D9" s="43"/>
      <c r="E9" s="130"/>
      <c r="F9" s="364"/>
      <c r="G9" s="364"/>
      <c r="H9" s="364"/>
      <c r="I9" s="364"/>
      <c r="J9" s="364"/>
      <c r="K9" s="365"/>
      <c r="V9" s="39"/>
      <c r="W9" s="39"/>
    </row>
    <row r="10" spans="1:23" ht="15" customHeight="1" x14ac:dyDescent="0.2">
      <c r="B10" s="46" t="s">
        <v>15</v>
      </c>
      <c r="C10" s="43"/>
      <c r="D10" s="43"/>
      <c r="E10" s="131">
        <v>0.115</v>
      </c>
      <c r="F10" s="450" t="s">
        <v>165</v>
      </c>
      <c r="G10" s="450"/>
      <c r="H10" s="450"/>
      <c r="I10" s="450"/>
      <c r="J10" s="450"/>
      <c r="K10" s="451"/>
      <c r="V10" s="39"/>
      <c r="W10" s="39"/>
    </row>
    <row r="11" spans="1:23" ht="14.25" customHeight="1" x14ac:dyDescent="0.2">
      <c r="B11" s="49"/>
      <c r="C11" s="47"/>
      <c r="D11" s="43"/>
      <c r="E11" s="132"/>
      <c r="F11" s="450"/>
      <c r="G11" s="450"/>
      <c r="H11" s="450"/>
      <c r="I11" s="450"/>
      <c r="J11" s="450"/>
      <c r="K11" s="451"/>
      <c r="V11" s="39"/>
      <c r="W11" s="39"/>
    </row>
    <row r="12" spans="1:23" ht="14.25" customHeight="1" x14ac:dyDescent="0.2">
      <c r="B12" s="46" t="s">
        <v>80</v>
      </c>
      <c r="C12" s="43"/>
      <c r="D12" s="43"/>
      <c r="E12" s="131">
        <v>0.16</v>
      </c>
      <c r="F12" s="446" t="s">
        <v>167</v>
      </c>
      <c r="G12" s="446"/>
      <c r="H12" s="446"/>
      <c r="I12" s="446"/>
      <c r="J12" s="446"/>
      <c r="K12" s="447"/>
    </row>
    <row r="13" spans="1:23" ht="14.25" customHeight="1" x14ac:dyDescent="0.2">
      <c r="B13" s="49"/>
      <c r="C13" s="43"/>
      <c r="D13" s="43"/>
      <c r="E13" s="50"/>
      <c r="F13" s="446"/>
      <c r="G13" s="446"/>
      <c r="H13" s="446"/>
      <c r="I13" s="446"/>
      <c r="J13" s="446"/>
      <c r="K13" s="447"/>
      <c r="V13" s="39"/>
      <c r="W13" s="39"/>
    </row>
    <row r="14" spans="1:23" ht="14.25" customHeight="1" x14ac:dyDescent="0.2">
      <c r="B14" s="46" t="s">
        <v>32</v>
      </c>
      <c r="C14" s="47"/>
      <c r="D14" s="43"/>
      <c r="E14" s="133">
        <v>0.1</v>
      </c>
      <c r="F14" s="366" t="s">
        <v>164</v>
      </c>
      <c r="G14" s="367"/>
      <c r="H14" s="367"/>
      <c r="I14" s="367"/>
      <c r="J14" s="367"/>
      <c r="K14" s="368"/>
      <c r="V14" s="39"/>
      <c r="W14" s="39"/>
    </row>
    <row r="15" spans="1:23" ht="14.25" customHeight="1" x14ac:dyDescent="0.2">
      <c r="B15" s="51"/>
      <c r="C15" s="43"/>
      <c r="D15" s="43"/>
      <c r="E15" s="43"/>
      <c r="F15" s="369"/>
      <c r="G15" s="370"/>
      <c r="H15" s="370"/>
      <c r="I15" s="370"/>
      <c r="J15" s="370"/>
      <c r="K15" s="371"/>
      <c r="V15" s="39"/>
      <c r="W15" s="39"/>
    </row>
    <row r="16" spans="1:23" ht="14.25" customHeight="1" x14ac:dyDescent="0.25">
      <c r="B16" s="72" t="s">
        <v>77</v>
      </c>
      <c r="C16" s="43"/>
      <c r="D16" s="43"/>
      <c r="E16" s="133">
        <v>0.04</v>
      </c>
      <c r="F16" s="448" t="s">
        <v>163</v>
      </c>
      <c r="G16" s="448"/>
      <c r="H16" s="448"/>
      <c r="I16" s="448"/>
      <c r="J16" s="448"/>
      <c r="K16" s="449"/>
      <c r="V16" s="39"/>
      <c r="W16" s="39"/>
    </row>
    <row r="17" spans="2:23" ht="14.25" customHeight="1" x14ac:dyDescent="0.25">
      <c r="B17" s="72"/>
      <c r="C17" s="43"/>
      <c r="D17" s="43"/>
      <c r="E17" s="43"/>
      <c r="F17" s="448"/>
      <c r="G17" s="448"/>
      <c r="H17" s="448"/>
      <c r="I17" s="448"/>
      <c r="J17" s="448"/>
      <c r="K17" s="449"/>
      <c r="V17" s="39"/>
      <c r="W17" s="39"/>
    </row>
    <row r="18" spans="2:23" ht="14.25" customHeight="1" x14ac:dyDescent="0.25">
      <c r="B18" s="72" t="s">
        <v>120</v>
      </c>
      <c r="C18" s="43"/>
      <c r="D18" s="43"/>
      <c r="E18" s="133">
        <v>0.08</v>
      </c>
      <c r="F18" s="446" t="s">
        <v>162</v>
      </c>
      <c r="G18" s="446"/>
      <c r="H18" s="446"/>
      <c r="I18" s="446"/>
      <c r="J18" s="446"/>
      <c r="K18" s="447"/>
      <c r="V18" s="39"/>
      <c r="W18" s="39"/>
    </row>
    <row r="19" spans="2:23" ht="14.25" customHeight="1" x14ac:dyDescent="0.2">
      <c r="B19" s="45"/>
      <c r="C19" s="43"/>
      <c r="D19" s="43"/>
      <c r="E19" s="43"/>
      <c r="F19" s="446"/>
      <c r="G19" s="446"/>
      <c r="H19" s="446"/>
      <c r="I19" s="446"/>
      <c r="J19" s="446"/>
      <c r="K19" s="447"/>
      <c r="V19" s="39"/>
      <c r="W19" s="39"/>
    </row>
    <row r="20" spans="2:23" ht="14.25" customHeight="1" x14ac:dyDescent="0.25">
      <c r="B20" s="282" t="s">
        <v>186</v>
      </c>
      <c r="C20" s="43"/>
      <c r="D20" s="43"/>
      <c r="E20" s="284"/>
      <c r="F20" s="372" t="str">
        <f>E8 &amp; " per m³"</f>
        <v>KES per m³</v>
      </c>
      <c r="G20" s="439" t="s">
        <v>194</v>
      </c>
      <c r="H20" s="439"/>
      <c r="I20" s="439"/>
      <c r="J20" s="439"/>
      <c r="K20" s="440"/>
      <c r="V20" s="39"/>
      <c r="W20" s="39"/>
    </row>
    <row r="21" spans="2:23" ht="14.25" customHeight="1" x14ac:dyDescent="0.2">
      <c r="B21" s="45"/>
      <c r="C21" s="43"/>
      <c r="D21" s="43"/>
      <c r="E21" s="43"/>
      <c r="F21" s="364"/>
      <c r="G21" s="439"/>
      <c r="H21" s="439"/>
      <c r="I21" s="439"/>
      <c r="J21" s="439"/>
      <c r="K21" s="440"/>
      <c r="V21" s="39"/>
      <c r="W21" s="39"/>
    </row>
    <row r="22" spans="2:23" ht="15" customHeight="1" x14ac:dyDescent="0.25">
      <c r="B22" s="52" t="s">
        <v>175</v>
      </c>
      <c r="C22" s="53"/>
      <c r="D22" s="43"/>
      <c r="E22" s="134">
        <v>26</v>
      </c>
      <c r="F22" s="372" t="s">
        <v>170</v>
      </c>
      <c r="G22" s="453" t="s">
        <v>187</v>
      </c>
      <c r="H22" s="448"/>
      <c r="I22" s="448"/>
      <c r="J22" s="448"/>
      <c r="K22" s="449"/>
      <c r="V22" s="39"/>
      <c r="W22" s="39"/>
    </row>
    <row r="23" spans="2:23" ht="14.25" customHeight="1" x14ac:dyDescent="0.25">
      <c r="B23" s="52"/>
      <c r="C23" s="53"/>
      <c r="D23" s="43"/>
      <c r="E23" s="54"/>
      <c r="F23" s="372"/>
      <c r="G23" s="448"/>
      <c r="H23" s="448"/>
      <c r="I23" s="448"/>
      <c r="J23" s="448"/>
      <c r="K23" s="449"/>
      <c r="V23" s="39"/>
      <c r="W23" s="39"/>
    </row>
    <row r="24" spans="2:23" ht="14.25" customHeight="1" x14ac:dyDescent="0.2">
      <c r="B24" s="46" t="s">
        <v>168</v>
      </c>
      <c r="C24" s="43"/>
      <c r="D24" s="43"/>
      <c r="E24" s="135">
        <v>217770</v>
      </c>
      <c r="F24" s="373" t="str">
        <f>E8 &amp;" per year"</f>
        <v>KES per year</v>
      </c>
      <c r="G24" s="452" t="s">
        <v>188</v>
      </c>
      <c r="H24" s="450"/>
      <c r="I24" s="450"/>
      <c r="J24" s="450"/>
      <c r="K24" s="451"/>
      <c r="V24" s="39"/>
      <c r="W24" s="39"/>
    </row>
    <row r="25" spans="2:23" ht="14.25" customHeight="1" x14ac:dyDescent="0.2">
      <c r="B25" s="46"/>
      <c r="C25" s="43"/>
      <c r="D25" s="43"/>
      <c r="E25" s="43"/>
      <c r="F25" s="373"/>
      <c r="G25" s="450"/>
      <c r="H25" s="450"/>
      <c r="I25" s="450"/>
      <c r="J25" s="450"/>
      <c r="K25" s="451"/>
      <c r="V25" s="39"/>
      <c r="W25" s="39"/>
    </row>
    <row r="26" spans="2:23" ht="15" x14ac:dyDescent="0.2">
      <c r="B26" s="46" t="s">
        <v>155</v>
      </c>
      <c r="C26" s="55"/>
      <c r="D26" s="43"/>
      <c r="E26" s="144">
        <v>1</v>
      </c>
      <c r="F26" s="370" t="s">
        <v>154</v>
      </c>
      <c r="G26" s="370"/>
      <c r="H26" s="370"/>
      <c r="I26" s="370"/>
      <c r="J26" s="370"/>
      <c r="K26" s="371"/>
    </row>
    <row r="27" spans="2:23" ht="16.5" customHeight="1" thickBot="1" x14ac:dyDescent="0.25">
      <c r="B27" s="56"/>
      <c r="C27" s="57"/>
      <c r="D27" s="57"/>
      <c r="E27" s="57"/>
      <c r="F27" s="57"/>
      <c r="G27" s="57"/>
      <c r="H27" s="57"/>
      <c r="I27" s="57"/>
      <c r="J27" s="57"/>
      <c r="K27" s="58"/>
    </row>
    <row r="28" spans="2:23" ht="15" thickBot="1" x14ac:dyDescent="0.25"/>
    <row r="29" spans="2:23" x14ac:dyDescent="0.2">
      <c r="B29" s="60"/>
      <c r="C29" s="61"/>
      <c r="D29" s="61"/>
      <c r="E29" s="61"/>
      <c r="F29" s="61"/>
      <c r="G29" s="61"/>
      <c r="H29" s="61"/>
      <c r="I29" s="61"/>
      <c r="J29" s="61"/>
      <c r="K29" s="62"/>
    </row>
    <row r="30" spans="2:23" ht="15" x14ac:dyDescent="0.25">
      <c r="B30" s="136" t="s">
        <v>184</v>
      </c>
      <c r="C30" s="59"/>
      <c r="D30" s="476" t="s">
        <v>181</v>
      </c>
      <c r="E30" s="477"/>
      <c r="F30" s="477"/>
      <c r="G30" s="477"/>
      <c r="H30" s="478"/>
      <c r="I30" s="59"/>
      <c r="J30" s="59"/>
      <c r="K30" s="64"/>
    </row>
    <row r="31" spans="2:23" ht="15" x14ac:dyDescent="0.25">
      <c r="B31" s="136"/>
      <c r="C31" s="59"/>
      <c r="D31" s="59"/>
      <c r="E31" s="59"/>
      <c r="F31" s="59"/>
      <c r="G31" s="59"/>
      <c r="H31" s="59"/>
      <c r="I31" s="59"/>
      <c r="J31" s="59"/>
      <c r="K31" s="64"/>
    </row>
    <row r="32" spans="2:23" x14ac:dyDescent="0.2">
      <c r="B32" s="63"/>
      <c r="C32" s="59"/>
      <c r="D32" s="59"/>
      <c r="E32" s="59"/>
      <c r="F32" s="59"/>
      <c r="G32" s="59"/>
      <c r="H32" s="59"/>
      <c r="I32" s="59"/>
      <c r="J32" s="59"/>
      <c r="K32" s="64"/>
    </row>
    <row r="33" spans="2:11" ht="15" x14ac:dyDescent="0.25">
      <c r="B33" s="63"/>
      <c r="C33" s="59"/>
      <c r="D33" s="59"/>
      <c r="E33" s="267" t="str">
        <f>"Price in "&amp; E8</f>
        <v>Price in KES</v>
      </c>
      <c r="F33" s="59"/>
      <c r="G33" s="69" t="s">
        <v>71</v>
      </c>
      <c r="H33" s="59"/>
      <c r="I33" s="59"/>
      <c r="J33" s="59"/>
      <c r="K33" s="64"/>
    </row>
    <row r="34" spans="2:11" ht="15" customHeight="1" x14ac:dyDescent="0.2">
      <c r="B34" s="63"/>
      <c r="C34" s="59" t="s">
        <v>101</v>
      </c>
      <c r="D34" s="59"/>
      <c r="E34" s="508">
        <v>400000</v>
      </c>
      <c r="F34" s="59"/>
      <c r="G34" s="510">
        <v>20</v>
      </c>
      <c r="H34" s="59" t="s">
        <v>72</v>
      </c>
      <c r="I34" s="59"/>
      <c r="J34" s="59"/>
      <c r="K34" s="64"/>
    </row>
    <row r="35" spans="2:11" ht="15" customHeight="1" x14ac:dyDescent="0.2">
      <c r="B35" s="63"/>
      <c r="C35" s="266" t="s">
        <v>172</v>
      </c>
      <c r="D35" s="59"/>
      <c r="E35" s="508"/>
      <c r="F35" s="266"/>
      <c r="G35" s="510"/>
      <c r="H35" s="59" t="s">
        <v>72</v>
      </c>
      <c r="I35" s="59"/>
      <c r="J35" s="59"/>
      <c r="K35" s="64"/>
    </row>
    <row r="36" spans="2:11" ht="14.25" customHeight="1" x14ac:dyDescent="0.2">
      <c r="B36" s="63"/>
      <c r="C36" s="59" t="s">
        <v>92</v>
      </c>
      <c r="D36" s="59"/>
      <c r="E36" s="508">
        <v>50000</v>
      </c>
      <c r="F36" s="71"/>
      <c r="G36" s="511">
        <v>5</v>
      </c>
      <c r="H36" s="59" t="s">
        <v>72</v>
      </c>
      <c r="I36" s="59"/>
      <c r="J36" s="59"/>
      <c r="K36" s="64"/>
    </row>
    <row r="37" spans="2:11" x14ac:dyDescent="0.2">
      <c r="B37" s="457" t="s">
        <v>5</v>
      </c>
      <c r="C37" s="59" t="s">
        <v>113</v>
      </c>
      <c r="D37" s="59"/>
      <c r="E37" s="508">
        <v>200000</v>
      </c>
      <c r="F37" s="71"/>
      <c r="G37" s="511">
        <v>7</v>
      </c>
      <c r="H37" s="59" t="s">
        <v>72</v>
      </c>
      <c r="I37" s="59"/>
      <c r="J37" s="59"/>
      <c r="K37" s="64"/>
    </row>
    <row r="38" spans="2:11" x14ac:dyDescent="0.2">
      <c r="B38" s="457"/>
      <c r="C38" s="59" t="s">
        <v>8</v>
      </c>
      <c r="D38" s="59"/>
      <c r="E38" s="508">
        <v>20000</v>
      </c>
      <c r="F38" s="59"/>
      <c r="G38" s="512">
        <v>5</v>
      </c>
      <c r="H38" s="59" t="s">
        <v>72</v>
      </c>
      <c r="I38" s="59"/>
      <c r="J38" s="59"/>
      <c r="K38" s="64"/>
    </row>
    <row r="39" spans="2:11" ht="15.75" customHeight="1" x14ac:dyDescent="0.2">
      <c r="B39" s="63"/>
      <c r="C39" s="59" t="s">
        <v>1</v>
      </c>
      <c r="D39" s="59"/>
      <c r="E39" s="509">
        <v>55000</v>
      </c>
      <c r="F39" s="59" t="str">
        <f t="shared" ref="F39:F44" si="0">IF($E$8="","",$E$8)</f>
        <v>KES</v>
      </c>
      <c r="G39" s="512">
        <v>20</v>
      </c>
      <c r="H39" s="59" t="s">
        <v>72</v>
      </c>
      <c r="I39" s="59"/>
      <c r="J39" s="59"/>
      <c r="K39" s="64"/>
    </row>
    <row r="40" spans="2:11" ht="14.25" customHeight="1" x14ac:dyDescent="0.2">
      <c r="B40" s="63"/>
      <c r="C40" s="59" t="s">
        <v>3</v>
      </c>
      <c r="D40" s="59"/>
      <c r="E40" s="508">
        <v>80000</v>
      </c>
      <c r="F40" s="59" t="str">
        <f t="shared" si="0"/>
        <v>KES</v>
      </c>
      <c r="G40" s="511">
        <v>5</v>
      </c>
      <c r="H40" s="59" t="s">
        <v>72</v>
      </c>
      <c r="I40" s="59"/>
      <c r="J40" s="59"/>
      <c r="K40" s="64"/>
    </row>
    <row r="41" spans="2:11" ht="14.25" customHeight="1" x14ac:dyDescent="0.2">
      <c r="B41" s="63"/>
      <c r="C41" s="59" t="s">
        <v>2</v>
      </c>
      <c r="D41" s="59"/>
      <c r="E41" s="508"/>
      <c r="F41" s="59" t="str">
        <f t="shared" si="0"/>
        <v>KES</v>
      </c>
      <c r="G41" s="289" t="s">
        <v>205</v>
      </c>
      <c r="H41" s="59"/>
      <c r="I41" s="59"/>
      <c r="J41" s="59"/>
      <c r="K41" s="64"/>
    </row>
    <row r="42" spans="2:11" ht="14.25" customHeight="1" x14ac:dyDescent="0.2">
      <c r="B42" s="63"/>
      <c r="C42" s="59" t="s">
        <v>0</v>
      </c>
      <c r="D42" s="59"/>
      <c r="E42" s="508">
        <v>25000</v>
      </c>
      <c r="F42" s="59" t="str">
        <f t="shared" si="0"/>
        <v>KES</v>
      </c>
      <c r="G42" s="59"/>
      <c r="H42" s="59"/>
      <c r="I42" s="59"/>
      <c r="J42" s="59"/>
      <c r="K42" s="64"/>
    </row>
    <row r="43" spans="2:11" ht="14.25" customHeight="1" x14ac:dyDescent="0.25">
      <c r="B43" s="63"/>
      <c r="C43" s="59" t="s">
        <v>10</v>
      </c>
      <c r="D43" s="59"/>
      <c r="E43" s="77"/>
      <c r="F43" s="59" t="str">
        <f t="shared" si="0"/>
        <v>KES</v>
      </c>
      <c r="G43" s="321" t="s">
        <v>173</v>
      </c>
      <c r="H43" s="322"/>
      <c r="I43" s="322"/>
      <c r="J43" s="322"/>
      <c r="K43" s="360"/>
    </row>
    <row r="44" spans="2:11" ht="15" customHeight="1" thickBot="1" x14ac:dyDescent="0.25">
      <c r="B44" s="63"/>
      <c r="C44" s="59" t="s">
        <v>11</v>
      </c>
      <c r="D44" s="59"/>
      <c r="E44" s="74">
        <f>SUM(E34:E43)-J44</f>
        <v>830000</v>
      </c>
      <c r="F44" s="59" t="str">
        <f t="shared" si="0"/>
        <v>KES</v>
      </c>
      <c r="G44" s="323" t="s">
        <v>174</v>
      </c>
      <c r="H44" s="305"/>
      <c r="I44" s="305"/>
      <c r="J44" s="269"/>
      <c r="K44" s="306" t="str">
        <f>E8</f>
        <v>KES</v>
      </c>
    </row>
    <row r="45" spans="2:11" ht="15" thickTop="1" x14ac:dyDescent="0.2">
      <c r="B45" s="63"/>
      <c r="C45" s="59"/>
      <c r="D45" s="59"/>
      <c r="E45" s="59"/>
      <c r="F45" s="59"/>
      <c r="G45" s="324"/>
      <c r="H45" s="325"/>
      <c r="I45" s="325"/>
      <c r="J45" s="325"/>
      <c r="K45" s="361"/>
    </row>
    <row r="46" spans="2:11" ht="15" x14ac:dyDescent="0.25">
      <c r="B46" s="63"/>
      <c r="C46" s="59"/>
      <c r="D46" s="59"/>
      <c r="E46" s="128"/>
      <c r="F46" s="59"/>
      <c r="G46" s="59"/>
      <c r="H46" s="69"/>
      <c r="I46" s="59"/>
      <c r="J46" s="59"/>
      <c r="K46" s="64"/>
    </row>
    <row r="47" spans="2:11" ht="15" x14ac:dyDescent="0.25">
      <c r="B47" s="68" t="s">
        <v>6</v>
      </c>
      <c r="C47" s="59" t="s">
        <v>7</v>
      </c>
      <c r="D47" s="59"/>
      <c r="E47" s="76">
        <v>6000</v>
      </c>
      <c r="F47" s="59"/>
      <c r="G47" s="59"/>
      <c r="H47" s="59"/>
      <c r="I47" s="59"/>
      <c r="J47" s="59"/>
      <c r="K47" s="64"/>
    </row>
    <row r="48" spans="2:11" x14ac:dyDescent="0.2">
      <c r="B48" s="63"/>
      <c r="C48" s="59" t="s">
        <v>62</v>
      </c>
      <c r="D48" s="59"/>
      <c r="E48" s="77"/>
      <c r="F48" s="59" t="str">
        <f>IF($E$8="","",$E$8)</f>
        <v>KES</v>
      </c>
      <c r="G48" s="59"/>
      <c r="H48" s="59"/>
      <c r="I48" s="59"/>
      <c r="J48" s="123"/>
      <c r="K48" s="64"/>
    </row>
    <row r="49" spans="2:11" x14ac:dyDescent="0.2">
      <c r="B49" s="63"/>
      <c r="C49" s="59"/>
      <c r="D49" s="59"/>
      <c r="E49" s="59"/>
      <c r="F49" s="59"/>
      <c r="G49" s="59"/>
      <c r="H49" s="59"/>
      <c r="I49" s="59"/>
      <c r="J49" s="85"/>
      <c r="K49" s="64"/>
    </row>
    <row r="50" spans="2:11" ht="15" thickBot="1" x14ac:dyDescent="0.25">
      <c r="B50" s="63"/>
      <c r="C50" s="59" t="s">
        <v>13</v>
      </c>
      <c r="D50" s="59"/>
      <c r="E50" s="75">
        <f>SUM(E46:E48)</f>
        <v>6000</v>
      </c>
      <c r="F50" s="59" t="str">
        <f>IF($E$8="","",$E$8)</f>
        <v>KES</v>
      </c>
      <c r="G50" s="59"/>
      <c r="H50" s="59"/>
      <c r="I50" s="59"/>
      <c r="J50" s="123"/>
      <c r="K50" s="64"/>
    </row>
    <row r="51" spans="2:11" ht="16.5" customHeight="1" thickTop="1" x14ac:dyDescent="0.2">
      <c r="B51" s="63"/>
      <c r="C51" s="59"/>
      <c r="D51" s="59"/>
      <c r="E51" s="59"/>
      <c r="F51" s="59"/>
      <c r="G51" s="59"/>
      <c r="H51" s="59"/>
      <c r="I51" s="59"/>
      <c r="J51" s="86"/>
      <c r="K51" s="64"/>
    </row>
    <row r="52" spans="2:11" x14ac:dyDescent="0.2">
      <c r="B52" s="63"/>
      <c r="C52" s="59"/>
      <c r="D52" s="59"/>
      <c r="E52" s="59"/>
      <c r="F52" s="59"/>
      <c r="G52" s="59"/>
      <c r="H52" s="59"/>
      <c r="I52" s="59"/>
      <c r="J52" s="70"/>
      <c r="K52" s="64"/>
    </row>
    <row r="53" spans="2:11" x14ac:dyDescent="0.2">
      <c r="B53" s="63"/>
      <c r="C53" s="59" t="s">
        <v>57</v>
      </c>
      <c r="D53" s="59"/>
      <c r="E53" s="78"/>
      <c r="F53" s="59" t="str">
        <f>IF($E$8="","",$E$8)</f>
        <v>KES</v>
      </c>
      <c r="G53" s="59"/>
      <c r="H53" s="59"/>
      <c r="I53" s="59"/>
      <c r="J53" s="123"/>
      <c r="K53" s="64"/>
    </row>
    <row r="54" spans="2:11" ht="15" x14ac:dyDescent="0.25">
      <c r="B54" s="68" t="s">
        <v>56</v>
      </c>
      <c r="C54" s="59" t="s">
        <v>17</v>
      </c>
      <c r="D54" s="59"/>
      <c r="E54" s="79"/>
      <c r="F54" s="59"/>
      <c r="G54" s="59"/>
      <c r="H54" s="59"/>
      <c r="I54" s="59"/>
      <c r="J54" s="70"/>
      <c r="K54" s="64"/>
    </row>
    <row r="55" spans="2:11" x14ac:dyDescent="0.2">
      <c r="B55" s="63"/>
      <c r="C55" s="59" t="s">
        <v>18</v>
      </c>
      <c r="D55" s="59"/>
      <c r="E55" s="80"/>
      <c r="F55" s="59" t="s">
        <v>72</v>
      </c>
      <c r="G55" s="59"/>
      <c r="H55" s="59"/>
      <c r="I55" s="59"/>
      <c r="J55" s="59"/>
      <c r="K55" s="64"/>
    </row>
    <row r="56" spans="2:11" x14ac:dyDescent="0.2">
      <c r="B56" s="63"/>
      <c r="C56" s="59" t="s">
        <v>73</v>
      </c>
      <c r="D56" s="59"/>
      <c r="E56" s="459"/>
      <c r="F56" s="460"/>
      <c r="G56" s="59"/>
      <c r="H56" s="59"/>
      <c r="I56" s="59"/>
      <c r="J56" s="59"/>
      <c r="K56" s="64"/>
    </row>
    <row r="57" spans="2:11" ht="15" thickBot="1" x14ac:dyDescent="0.25">
      <c r="B57" s="65"/>
      <c r="C57" s="66"/>
      <c r="D57" s="66"/>
      <c r="E57" s="66"/>
      <c r="F57" s="66"/>
      <c r="G57" s="66"/>
      <c r="H57" s="66"/>
      <c r="I57" s="66"/>
      <c r="J57" s="66"/>
      <c r="K57" s="67"/>
    </row>
    <row r="58" spans="2:11" ht="14.25" customHeight="1" thickBot="1" x14ac:dyDescent="0.25"/>
    <row r="59" spans="2:11" ht="14.25" customHeight="1" x14ac:dyDescent="0.2">
      <c r="B59" s="113"/>
      <c r="C59" s="107"/>
      <c r="D59" s="107"/>
      <c r="E59" s="107"/>
      <c r="F59" s="107"/>
      <c r="G59" s="107"/>
      <c r="H59" s="107"/>
      <c r="I59" s="107"/>
      <c r="J59" s="107"/>
      <c r="K59" s="108"/>
    </row>
    <row r="60" spans="2:11" ht="14.25" customHeight="1" x14ac:dyDescent="0.25">
      <c r="B60" s="137" t="s">
        <v>184</v>
      </c>
      <c r="C60" s="109"/>
      <c r="D60" s="476" t="s">
        <v>182</v>
      </c>
      <c r="E60" s="477"/>
      <c r="F60" s="477"/>
      <c r="G60" s="477"/>
      <c r="H60" s="478"/>
      <c r="I60" s="109"/>
      <c r="J60" s="109"/>
      <c r="K60" s="110"/>
    </row>
    <row r="61" spans="2:11" ht="14.25" customHeight="1" x14ac:dyDescent="0.25">
      <c r="B61" s="137"/>
      <c r="C61" s="109"/>
      <c r="D61" s="109"/>
      <c r="E61" s="109"/>
      <c r="F61" s="109"/>
      <c r="G61" s="109"/>
      <c r="H61" s="109"/>
      <c r="I61" s="109"/>
      <c r="J61" s="109"/>
      <c r="K61" s="110"/>
    </row>
    <row r="62" spans="2:11" ht="14.25" customHeight="1" x14ac:dyDescent="0.2">
      <c r="B62" s="114"/>
      <c r="C62" s="109"/>
      <c r="D62" s="109"/>
      <c r="E62" s="109"/>
      <c r="F62" s="109"/>
      <c r="G62" s="109"/>
      <c r="H62" s="109"/>
      <c r="I62" s="307"/>
      <c r="J62" s="308" t="s">
        <v>197</v>
      </c>
      <c r="K62" s="356"/>
    </row>
    <row r="63" spans="2:11" ht="15" x14ac:dyDescent="0.25">
      <c r="B63" s="114"/>
      <c r="C63" s="109"/>
      <c r="D63" s="109"/>
      <c r="E63" s="215" t="str">
        <f>"Price in "&amp; E8</f>
        <v>Price in KES</v>
      </c>
      <c r="F63" s="109"/>
      <c r="G63" s="115" t="s">
        <v>71</v>
      </c>
      <c r="H63" s="109"/>
      <c r="I63" s="309"/>
      <c r="J63" s="310">
        <f>J66*J83</f>
        <v>215.8</v>
      </c>
      <c r="K63" s="357" t="s">
        <v>110</v>
      </c>
    </row>
    <row r="64" spans="2:11" x14ac:dyDescent="0.2">
      <c r="B64" s="114"/>
      <c r="C64" s="109" t="s">
        <v>166</v>
      </c>
      <c r="D64" s="109"/>
      <c r="E64" s="508"/>
      <c r="F64" s="109"/>
      <c r="G64" s="511"/>
      <c r="H64" s="109" t="s">
        <v>72</v>
      </c>
      <c r="I64" s="461" t="s">
        <v>136</v>
      </c>
      <c r="J64" s="462"/>
      <c r="K64" s="463"/>
    </row>
    <row r="65" spans="2:11" ht="15" customHeight="1" x14ac:dyDescent="0.2">
      <c r="B65" s="114"/>
      <c r="C65" s="109" t="s">
        <v>92</v>
      </c>
      <c r="D65" s="109"/>
      <c r="E65" s="508"/>
      <c r="F65" s="109"/>
      <c r="G65" s="511"/>
      <c r="H65" s="109" t="s">
        <v>72</v>
      </c>
      <c r="I65" s="311" t="s">
        <v>190</v>
      </c>
      <c r="J65" s="292"/>
      <c r="K65" s="293"/>
    </row>
    <row r="66" spans="2:11" ht="14.25" customHeight="1" x14ac:dyDescent="0.2">
      <c r="B66" s="458" t="s">
        <v>5</v>
      </c>
      <c r="C66" s="109" t="s">
        <v>113</v>
      </c>
      <c r="D66" s="109"/>
      <c r="E66" s="509">
        <v>150000</v>
      </c>
      <c r="F66" s="109"/>
      <c r="G66" s="512">
        <v>5</v>
      </c>
      <c r="H66" s="109" t="s">
        <v>72</v>
      </c>
      <c r="I66" s="312"/>
      <c r="J66" s="296">
        <v>0.33200000000000002</v>
      </c>
      <c r="K66" s="295" t="s">
        <v>193</v>
      </c>
    </row>
    <row r="67" spans="2:11" ht="14.25" customHeight="1" x14ac:dyDescent="0.2">
      <c r="B67" s="458"/>
      <c r="C67" s="109" t="s">
        <v>8</v>
      </c>
      <c r="D67" s="109"/>
      <c r="E67" s="509">
        <v>50000</v>
      </c>
      <c r="F67" s="109"/>
      <c r="G67" s="512">
        <v>5</v>
      </c>
      <c r="H67" s="109" t="s">
        <v>72</v>
      </c>
      <c r="I67" s="311" t="s">
        <v>191</v>
      </c>
      <c r="J67" s="292"/>
      <c r="K67" s="295"/>
    </row>
    <row r="68" spans="2:11" ht="16.5" customHeight="1" x14ac:dyDescent="0.2">
      <c r="B68" s="114"/>
      <c r="C68" s="109" t="s">
        <v>1</v>
      </c>
      <c r="D68" s="109"/>
      <c r="E68" s="509">
        <v>55000</v>
      </c>
      <c r="F68" s="109" t="str">
        <f t="shared" ref="F68:F73" si="1">IF($E$8="","",$E$8)</f>
        <v>KES</v>
      </c>
      <c r="G68" s="512">
        <v>20</v>
      </c>
      <c r="H68" s="109" t="s">
        <v>72</v>
      </c>
      <c r="I68" s="464" t="s">
        <v>192</v>
      </c>
      <c r="J68" s="465"/>
      <c r="K68" s="466"/>
    </row>
    <row r="69" spans="2:11" x14ac:dyDescent="0.2">
      <c r="B69" s="114"/>
      <c r="C69" s="109" t="s">
        <v>3</v>
      </c>
      <c r="D69" s="109"/>
      <c r="E69" s="508">
        <v>80000</v>
      </c>
      <c r="F69" s="109" t="str">
        <f t="shared" si="1"/>
        <v>KES</v>
      </c>
      <c r="G69" s="511">
        <v>5</v>
      </c>
      <c r="H69" s="109" t="s">
        <v>72</v>
      </c>
      <c r="I69" s="467"/>
      <c r="J69" s="468"/>
      <c r="K69" s="469"/>
    </row>
    <row r="70" spans="2:11" x14ac:dyDescent="0.2">
      <c r="B70" s="114"/>
      <c r="C70" s="109" t="s">
        <v>2</v>
      </c>
      <c r="D70" s="109"/>
      <c r="E70" s="508"/>
      <c r="F70" s="109" t="str">
        <f t="shared" si="1"/>
        <v>KES</v>
      </c>
      <c r="G70" s="290" t="s">
        <v>205</v>
      </c>
      <c r="H70" s="109"/>
      <c r="I70" s="109"/>
      <c r="J70" s="109"/>
      <c r="K70" s="110"/>
    </row>
    <row r="71" spans="2:11" x14ac:dyDescent="0.2">
      <c r="B71" s="114"/>
      <c r="C71" s="109" t="s">
        <v>0</v>
      </c>
      <c r="D71" s="109"/>
      <c r="E71" s="508">
        <v>15000</v>
      </c>
      <c r="F71" s="109" t="str">
        <f t="shared" si="1"/>
        <v>KES</v>
      </c>
      <c r="G71" s="109"/>
      <c r="H71" s="109"/>
      <c r="I71" s="109"/>
      <c r="J71" s="109"/>
      <c r="K71" s="110"/>
    </row>
    <row r="72" spans="2:11" ht="15" x14ac:dyDescent="0.25">
      <c r="B72" s="114"/>
      <c r="C72" s="109" t="s">
        <v>10</v>
      </c>
      <c r="D72" s="109"/>
      <c r="E72" s="508"/>
      <c r="F72" s="109" t="str">
        <f t="shared" si="1"/>
        <v>KES</v>
      </c>
      <c r="G72" s="313" t="s">
        <v>173</v>
      </c>
      <c r="H72" s="308"/>
      <c r="I72" s="308"/>
      <c r="J72" s="308"/>
      <c r="K72" s="358"/>
    </row>
    <row r="73" spans="2:11" ht="15" thickBot="1" x14ac:dyDescent="0.25">
      <c r="B73" s="114"/>
      <c r="C73" s="109" t="s">
        <v>12</v>
      </c>
      <c r="D73" s="109"/>
      <c r="E73" s="120">
        <f>SUM(E64:E72)-J73</f>
        <v>350000</v>
      </c>
      <c r="F73" s="109" t="str">
        <f t="shared" si="1"/>
        <v>KES</v>
      </c>
      <c r="G73" s="314" t="s">
        <v>174</v>
      </c>
      <c r="H73" s="297"/>
      <c r="I73" s="297"/>
      <c r="J73" s="269"/>
      <c r="K73" s="298" t="str">
        <f>E8</f>
        <v>KES</v>
      </c>
    </row>
    <row r="74" spans="2:11" ht="15" thickTop="1" x14ac:dyDescent="0.2">
      <c r="B74" s="114"/>
      <c r="C74" s="109"/>
      <c r="D74" s="109"/>
      <c r="E74" s="109"/>
      <c r="F74" s="109"/>
      <c r="G74" s="315"/>
      <c r="H74" s="316"/>
      <c r="I74" s="316"/>
      <c r="J74" s="316"/>
      <c r="K74" s="359"/>
    </row>
    <row r="75" spans="2:11" x14ac:dyDescent="0.2">
      <c r="B75" s="114"/>
      <c r="C75" s="109"/>
      <c r="D75" s="109"/>
      <c r="E75" s="109"/>
      <c r="F75" s="109"/>
      <c r="G75" s="109"/>
      <c r="H75" s="109"/>
      <c r="I75" s="109"/>
      <c r="J75" s="109"/>
      <c r="K75" s="110"/>
    </row>
    <row r="76" spans="2:11" ht="15" x14ac:dyDescent="0.25">
      <c r="B76" s="114"/>
      <c r="C76" s="109"/>
      <c r="D76" s="109"/>
      <c r="E76" s="109"/>
      <c r="F76" s="109"/>
      <c r="G76" s="317" t="s">
        <v>201</v>
      </c>
      <c r="H76" s="318"/>
      <c r="I76" s="318"/>
      <c r="J76" s="318"/>
      <c r="K76" s="356"/>
    </row>
    <row r="77" spans="2:11" x14ac:dyDescent="0.2">
      <c r="B77" s="114"/>
      <c r="C77" s="109" t="s">
        <v>102</v>
      </c>
      <c r="D77" s="109"/>
      <c r="E77" s="126">
        <f>J86</f>
        <v>13474.5</v>
      </c>
      <c r="F77" s="109" t="str">
        <f>IF($E$8="","",$E$8)</f>
        <v>KES</v>
      </c>
      <c r="G77" s="312"/>
      <c r="H77" s="299"/>
      <c r="I77" s="299"/>
      <c r="J77" s="299"/>
      <c r="K77" s="293"/>
    </row>
    <row r="78" spans="2:11" ht="15" x14ac:dyDescent="0.25">
      <c r="B78" s="116" t="s">
        <v>6</v>
      </c>
      <c r="C78" s="109" t="s">
        <v>7</v>
      </c>
      <c r="D78" s="109"/>
      <c r="E78" s="81">
        <v>5000</v>
      </c>
      <c r="F78" s="109" t="str">
        <f>IF($E$8="","",$E$8)</f>
        <v>KES</v>
      </c>
      <c r="G78" s="312" t="s">
        <v>105</v>
      </c>
      <c r="H78" s="299"/>
      <c r="I78" s="299"/>
      <c r="J78" s="303">
        <v>0.75</v>
      </c>
      <c r="K78" s="293" t="s">
        <v>103</v>
      </c>
    </row>
    <row r="79" spans="2:11" x14ac:dyDescent="0.2">
      <c r="B79" s="114"/>
      <c r="C79" s="109" t="s">
        <v>62</v>
      </c>
      <c r="D79" s="109"/>
      <c r="E79" s="82"/>
      <c r="F79" s="109" t="str">
        <f>IF($E$8="","",$E$8)</f>
        <v>KES</v>
      </c>
      <c r="G79" s="312" t="s">
        <v>83</v>
      </c>
      <c r="H79" s="299"/>
      <c r="I79" s="299"/>
      <c r="J79" s="300">
        <f>E22</f>
        <v>26</v>
      </c>
      <c r="K79" s="293" t="s">
        <v>86</v>
      </c>
    </row>
    <row r="80" spans="2:11" x14ac:dyDescent="0.2">
      <c r="B80" s="114"/>
      <c r="C80" s="109"/>
      <c r="D80" s="109"/>
      <c r="E80" s="118"/>
      <c r="F80" s="109"/>
      <c r="G80" s="312" t="s">
        <v>84</v>
      </c>
      <c r="H80" s="299"/>
      <c r="I80" s="299"/>
      <c r="J80" s="303">
        <v>6</v>
      </c>
      <c r="K80" s="293" t="s">
        <v>87</v>
      </c>
    </row>
    <row r="81" spans="2:11" ht="15" thickBot="1" x14ac:dyDescent="0.25">
      <c r="B81" s="114"/>
      <c r="C81" s="109" t="s">
        <v>13</v>
      </c>
      <c r="D81" s="109"/>
      <c r="E81" s="119">
        <f>SUM(E77:E79)</f>
        <v>18474.5</v>
      </c>
      <c r="F81" s="109" t="str">
        <f>IF($E$8="","",$E$8)</f>
        <v>KES</v>
      </c>
      <c r="G81" s="312" t="s">
        <v>106</v>
      </c>
      <c r="H81" s="299"/>
      <c r="I81" s="299"/>
      <c r="J81" s="301">
        <f>(J79/J80)*J78</f>
        <v>3.25</v>
      </c>
      <c r="K81" s="293" t="s">
        <v>104</v>
      </c>
    </row>
    <row r="82" spans="2:11" ht="15" thickTop="1" x14ac:dyDescent="0.2">
      <c r="B82" s="114"/>
      <c r="C82" s="109"/>
      <c r="D82" s="109"/>
      <c r="E82" s="118"/>
      <c r="F82" s="109"/>
      <c r="G82" s="312" t="s">
        <v>85</v>
      </c>
      <c r="H82" s="299"/>
      <c r="I82" s="299"/>
      <c r="J82" s="303">
        <v>200</v>
      </c>
      <c r="K82" s="293" t="s">
        <v>88</v>
      </c>
    </row>
    <row r="83" spans="2:11" x14ac:dyDescent="0.2">
      <c r="B83" s="114"/>
      <c r="C83" s="109"/>
      <c r="D83" s="109"/>
      <c r="E83" s="118"/>
      <c r="F83" s="109"/>
      <c r="G83" s="312" t="s">
        <v>107</v>
      </c>
      <c r="H83" s="299"/>
      <c r="I83" s="299"/>
      <c r="J83" s="300">
        <f>J82*J81</f>
        <v>650</v>
      </c>
      <c r="K83" s="293" t="s">
        <v>104</v>
      </c>
    </row>
    <row r="84" spans="2:11" x14ac:dyDescent="0.2">
      <c r="B84" s="114"/>
      <c r="C84" s="109"/>
      <c r="D84" s="109"/>
      <c r="E84" s="118"/>
      <c r="F84" s="109"/>
      <c r="G84" s="312" t="s">
        <v>108</v>
      </c>
      <c r="H84" s="299"/>
      <c r="I84" s="299"/>
      <c r="J84" s="304">
        <v>20.73</v>
      </c>
      <c r="K84" s="293" t="str">
        <f>IF($E$8="","",$E$8) &amp; "/kWh"</f>
        <v>KES/kWh</v>
      </c>
    </row>
    <row r="85" spans="2:11" x14ac:dyDescent="0.2">
      <c r="B85" s="114"/>
      <c r="C85" s="109" t="s">
        <v>57</v>
      </c>
      <c r="D85" s="109"/>
      <c r="E85" s="78"/>
      <c r="F85" s="109" t="str">
        <f>IF($E$8="","",$E$8)</f>
        <v>KES</v>
      </c>
      <c r="G85" s="312" t="s">
        <v>119</v>
      </c>
      <c r="H85" s="294"/>
      <c r="I85" s="299"/>
      <c r="J85" s="304"/>
      <c r="K85" s="293" t="str">
        <f>IF($E$8="","",$E$8) &amp; "/month"</f>
        <v>KES/month</v>
      </c>
    </row>
    <row r="86" spans="2:11" ht="15" x14ac:dyDescent="0.25">
      <c r="B86" s="116" t="s">
        <v>56</v>
      </c>
      <c r="C86" s="109" t="s">
        <v>17</v>
      </c>
      <c r="D86" s="109"/>
      <c r="E86" s="79"/>
      <c r="F86" s="109"/>
      <c r="G86" s="312" t="s">
        <v>109</v>
      </c>
      <c r="H86" s="299"/>
      <c r="I86" s="299"/>
      <c r="J86" s="302">
        <f>(J84*J83)+(J85*12)</f>
        <v>13474.5</v>
      </c>
      <c r="K86" s="293" t="str">
        <f>E8</f>
        <v>KES</v>
      </c>
    </row>
    <row r="87" spans="2:11" x14ac:dyDescent="0.2">
      <c r="B87" s="114"/>
      <c r="C87" s="109" t="s">
        <v>18</v>
      </c>
      <c r="D87" s="109"/>
      <c r="E87" s="80"/>
      <c r="F87" s="109" t="s">
        <v>72</v>
      </c>
      <c r="G87" s="319"/>
      <c r="H87" s="320"/>
      <c r="I87" s="320"/>
      <c r="J87" s="320"/>
      <c r="K87" s="357"/>
    </row>
    <row r="88" spans="2:11" x14ac:dyDescent="0.2">
      <c r="B88" s="114"/>
      <c r="C88" s="109" t="s">
        <v>73</v>
      </c>
      <c r="D88" s="109"/>
      <c r="E88" s="480"/>
      <c r="F88" s="479"/>
      <c r="G88" s="109"/>
      <c r="H88" s="109"/>
      <c r="I88" s="109"/>
      <c r="J88" s="109"/>
      <c r="K88" s="110"/>
    </row>
    <row r="89" spans="2:11" ht="15" thickBot="1" x14ac:dyDescent="0.25">
      <c r="B89" s="117"/>
      <c r="C89" s="112"/>
      <c r="D89" s="112"/>
      <c r="E89" s="112"/>
      <c r="F89" s="112"/>
      <c r="G89" s="112"/>
      <c r="H89" s="112"/>
      <c r="I89" s="112"/>
      <c r="J89" s="112"/>
      <c r="K89" s="111"/>
    </row>
    <row r="90" spans="2:11" ht="15" thickBot="1" x14ac:dyDescent="0.25"/>
    <row r="91" spans="2:11" x14ac:dyDescent="0.2">
      <c r="B91" s="101"/>
      <c r="C91" s="90"/>
      <c r="D91" s="90"/>
      <c r="E91" s="90"/>
      <c r="F91" s="90"/>
      <c r="G91" s="90"/>
      <c r="H91" s="90"/>
      <c r="I91" s="90"/>
      <c r="J91" s="90"/>
      <c r="K91" s="91"/>
    </row>
    <row r="92" spans="2:11" ht="15" x14ac:dyDescent="0.25">
      <c r="B92" s="138" t="s">
        <v>184</v>
      </c>
      <c r="C92" s="93"/>
      <c r="D92" s="476" t="s">
        <v>183</v>
      </c>
      <c r="E92" s="477"/>
      <c r="F92" s="477"/>
      <c r="G92" s="477"/>
      <c r="H92" s="478"/>
      <c r="I92" s="93"/>
      <c r="J92" s="93"/>
      <c r="K92" s="94"/>
    </row>
    <row r="93" spans="2:11" x14ac:dyDescent="0.2">
      <c r="B93" s="92"/>
      <c r="C93" s="93"/>
      <c r="D93" s="93"/>
      <c r="E93" s="93"/>
      <c r="F93" s="93"/>
      <c r="G93" s="93"/>
      <c r="H93" s="93"/>
      <c r="I93" s="93"/>
      <c r="J93" s="93"/>
      <c r="K93" s="94"/>
    </row>
    <row r="94" spans="2:11" ht="16.5" x14ac:dyDescent="0.2">
      <c r="B94" s="92"/>
      <c r="C94" s="93"/>
      <c r="D94" s="93"/>
      <c r="E94" s="124"/>
      <c r="F94" s="93"/>
      <c r="G94" s="125"/>
      <c r="H94" s="93"/>
      <c r="I94" s="327"/>
      <c r="J94" s="328" t="s">
        <v>197</v>
      </c>
      <c r="K94" s="348"/>
    </row>
    <row r="95" spans="2:11" ht="14.25" customHeight="1" x14ac:dyDescent="0.25">
      <c r="B95" s="92"/>
      <c r="C95" s="93"/>
      <c r="D95" s="93"/>
      <c r="E95" s="268" t="str">
        <f>"Price in "&amp; E8</f>
        <v>Price in KES</v>
      </c>
      <c r="F95" s="93"/>
      <c r="G95" s="103" t="s">
        <v>71</v>
      </c>
      <c r="H95" s="93"/>
      <c r="I95" s="326" t="s">
        <v>14</v>
      </c>
      <c r="J95" s="329">
        <f>VLOOKUP(I95,I97:J99,2,FALSE)*J115</f>
        <v>2328.7333333333331</v>
      </c>
      <c r="K95" s="349" t="s">
        <v>110</v>
      </c>
    </row>
    <row r="96" spans="2:11" ht="14.25" customHeight="1" x14ac:dyDescent="0.2">
      <c r="B96" s="92"/>
      <c r="C96" s="93" t="s">
        <v>112</v>
      </c>
      <c r="D96" s="93"/>
      <c r="E96" s="508">
        <v>150000</v>
      </c>
      <c r="F96" s="93" t="str">
        <f t="shared" ref="F96:F104" si="2">IF($E$8="","",$E$8)</f>
        <v>KES</v>
      </c>
      <c r="G96" s="511">
        <v>3</v>
      </c>
      <c r="H96" s="93" t="s">
        <v>72</v>
      </c>
      <c r="I96" s="443" t="s">
        <v>136</v>
      </c>
      <c r="J96" s="444"/>
      <c r="K96" s="445"/>
    </row>
    <row r="97" spans="2:11" x14ac:dyDescent="0.2">
      <c r="B97" s="442" t="s">
        <v>5</v>
      </c>
      <c r="C97" s="93" t="s">
        <v>113</v>
      </c>
      <c r="D97" s="93"/>
      <c r="E97" s="508">
        <v>150000</v>
      </c>
      <c r="F97" s="93" t="str">
        <f t="shared" si="2"/>
        <v>KES</v>
      </c>
      <c r="G97" s="511">
        <v>5</v>
      </c>
      <c r="H97" s="93" t="s">
        <v>72</v>
      </c>
      <c r="I97" s="330" t="s">
        <v>14</v>
      </c>
      <c r="J97" s="331">
        <v>2.6869999999999998</v>
      </c>
      <c r="K97" s="350" t="s">
        <v>127</v>
      </c>
    </row>
    <row r="98" spans="2:11" x14ac:dyDescent="0.2">
      <c r="B98" s="442"/>
      <c r="C98" s="93" t="s">
        <v>8</v>
      </c>
      <c r="D98" s="93"/>
      <c r="E98" s="509">
        <v>50000</v>
      </c>
      <c r="F98" s="93" t="str">
        <f t="shared" si="2"/>
        <v>KES</v>
      </c>
      <c r="G98" s="512">
        <v>5</v>
      </c>
      <c r="H98" s="93" t="s">
        <v>72</v>
      </c>
      <c r="I98" s="330" t="s">
        <v>125</v>
      </c>
      <c r="J98" s="331">
        <v>2.31</v>
      </c>
      <c r="K98" s="350" t="s">
        <v>127</v>
      </c>
    </row>
    <row r="99" spans="2:11" x14ac:dyDescent="0.2">
      <c r="B99" s="92"/>
      <c r="C99" s="93" t="s">
        <v>1</v>
      </c>
      <c r="D99" s="93"/>
      <c r="E99" s="509">
        <v>55000</v>
      </c>
      <c r="F99" s="93" t="str">
        <f t="shared" si="2"/>
        <v>KES</v>
      </c>
      <c r="G99" s="512">
        <v>20</v>
      </c>
      <c r="H99" s="93" t="s">
        <v>72</v>
      </c>
      <c r="I99" s="332" t="s">
        <v>126</v>
      </c>
      <c r="J99" s="333">
        <v>1.52</v>
      </c>
      <c r="K99" s="351" t="s">
        <v>127</v>
      </c>
    </row>
    <row r="100" spans="2:11" ht="14.25" customHeight="1" x14ac:dyDescent="0.2">
      <c r="B100" s="92"/>
      <c r="C100" s="93" t="s">
        <v>3</v>
      </c>
      <c r="D100" s="93"/>
      <c r="E100" s="508">
        <v>80000</v>
      </c>
      <c r="F100" s="93" t="str">
        <f t="shared" si="2"/>
        <v>KES</v>
      </c>
      <c r="G100" s="511">
        <v>5</v>
      </c>
      <c r="H100" s="93" t="s">
        <v>72</v>
      </c>
      <c r="I100" s="334" t="s">
        <v>195</v>
      </c>
      <c r="J100" s="470" t="s">
        <v>196</v>
      </c>
      <c r="K100" s="471"/>
    </row>
    <row r="101" spans="2:11" x14ac:dyDescent="0.2">
      <c r="B101" s="92"/>
      <c r="C101" s="93" t="s">
        <v>2</v>
      </c>
      <c r="D101" s="93"/>
      <c r="E101" s="508"/>
      <c r="F101" s="93" t="str">
        <f t="shared" si="2"/>
        <v>KES</v>
      </c>
      <c r="G101" s="291" t="s">
        <v>205</v>
      </c>
      <c r="H101" s="93"/>
      <c r="I101" s="335"/>
      <c r="J101" s="472"/>
      <c r="K101" s="473"/>
    </row>
    <row r="102" spans="2:11" x14ac:dyDescent="0.2">
      <c r="B102" s="92"/>
      <c r="C102" s="93" t="s">
        <v>0</v>
      </c>
      <c r="D102" s="93"/>
      <c r="E102" s="508">
        <v>25000</v>
      </c>
      <c r="F102" s="93" t="str">
        <f t="shared" si="2"/>
        <v>KES</v>
      </c>
      <c r="G102" s="93"/>
      <c r="H102" s="93"/>
      <c r="I102" s="336"/>
      <c r="J102" s="474"/>
      <c r="K102" s="475"/>
    </row>
    <row r="103" spans="2:11" x14ac:dyDescent="0.2">
      <c r="B103" s="92"/>
      <c r="C103" s="93" t="s">
        <v>10</v>
      </c>
      <c r="D103" s="93"/>
      <c r="E103" s="508"/>
      <c r="F103" s="93" t="str">
        <f t="shared" si="2"/>
        <v>KES</v>
      </c>
      <c r="G103" s="93"/>
      <c r="H103" s="93"/>
      <c r="I103" s="93"/>
      <c r="J103" s="93"/>
      <c r="K103" s="94"/>
    </row>
    <row r="104" spans="2:11" ht="15.75" thickBot="1" x14ac:dyDescent="0.3">
      <c r="B104" s="92"/>
      <c r="C104" s="93" t="s">
        <v>12</v>
      </c>
      <c r="D104" s="93"/>
      <c r="E104" s="104">
        <f>SUM(E94:E103)</f>
        <v>510000</v>
      </c>
      <c r="F104" s="93" t="str">
        <f t="shared" si="2"/>
        <v>KES</v>
      </c>
      <c r="G104" s="337" t="s">
        <v>173</v>
      </c>
      <c r="H104" s="328"/>
      <c r="I104" s="328"/>
      <c r="J104" s="328"/>
      <c r="K104" s="352"/>
    </row>
    <row r="105" spans="2:11" ht="15" thickTop="1" x14ac:dyDescent="0.2">
      <c r="B105" s="92"/>
      <c r="C105" s="93"/>
      <c r="D105" s="93"/>
      <c r="E105" s="93"/>
      <c r="F105" s="93"/>
      <c r="G105" s="334" t="s">
        <v>174</v>
      </c>
      <c r="H105" s="338"/>
      <c r="I105" s="338"/>
      <c r="J105" s="270"/>
      <c r="K105" s="353" t="str">
        <f>E8</f>
        <v>KES</v>
      </c>
    </row>
    <row r="106" spans="2:11" x14ac:dyDescent="0.2">
      <c r="B106" s="92"/>
      <c r="C106" s="93"/>
      <c r="D106" s="93"/>
      <c r="E106" s="93"/>
      <c r="F106" s="93"/>
      <c r="G106" s="339"/>
      <c r="H106" s="340"/>
      <c r="I106" s="340"/>
      <c r="J106" s="340"/>
      <c r="K106" s="354"/>
    </row>
    <row r="107" spans="2:11" x14ac:dyDescent="0.2">
      <c r="B107" s="92"/>
      <c r="C107" s="93"/>
      <c r="D107" s="93"/>
      <c r="E107" s="93"/>
      <c r="F107" s="93"/>
      <c r="G107" s="93"/>
      <c r="H107" s="93"/>
      <c r="I107" s="93"/>
      <c r="J107" s="93"/>
      <c r="K107" s="94"/>
    </row>
    <row r="108" spans="2:11" ht="15" x14ac:dyDescent="0.25">
      <c r="B108" s="92"/>
      <c r="C108" s="93" t="s">
        <v>95</v>
      </c>
      <c r="D108" s="93"/>
      <c r="E108" s="127">
        <f>J117</f>
        <v>68466.666666666657</v>
      </c>
      <c r="F108" s="93" t="str">
        <f>IF($E$8="","",$E$8)</f>
        <v>KES</v>
      </c>
      <c r="G108" s="341" t="s">
        <v>128</v>
      </c>
      <c r="H108" s="342"/>
      <c r="I108" s="342"/>
      <c r="J108" s="342"/>
      <c r="K108" s="348"/>
    </row>
    <row r="109" spans="2:11" ht="15" x14ac:dyDescent="0.25">
      <c r="B109" s="102" t="s">
        <v>6</v>
      </c>
      <c r="C109" s="93" t="s">
        <v>7</v>
      </c>
      <c r="D109" s="93"/>
      <c r="E109" s="81">
        <v>30000</v>
      </c>
      <c r="F109" s="93" t="str">
        <f>IF($E$8="","",$E$8)</f>
        <v>KES</v>
      </c>
      <c r="G109" s="335"/>
      <c r="H109" s="343"/>
      <c r="I109" s="343"/>
      <c r="J109" s="343"/>
      <c r="K109" s="349"/>
    </row>
    <row r="110" spans="2:11" x14ac:dyDescent="0.2">
      <c r="B110" s="92"/>
      <c r="C110" s="93" t="s">
        <v>62</v>
      </c>
      <c r="D110" s="93"/>
      <c r="E110" s="82"/>
      <c r="F110" s="93" t="str">
        <f>IF($E$8="","",$E$8)</f>
        <v>KES</v>
      </c>
      <c r="G110" s="335" t="s">
        <v>129</v>
      </c>
      <c r="H110" s="343"/>
      <c r="I110" s="343"/>
      <c r="J110" s="303">
        <v>1</v>
      </c>
      <c r="K110" s="349" t="s">
        <v>96</v>
      </c>
    </row>
    <row r="111" spans="2:11" x14ac:dyDescent="0.2">
      <c r="B111" s="92"/>
      <c r="C111" s="93"/>
      <c r="D111" s="93"/>
      <c r="E111" s="105"/>
      <c r="F111" s="93"/>
      <c r="G111" s="335" t="s">
        <v>83</v>
      </c>
      <c r="H111" s="343"/>
      <c r="I111" s="343"/>
      <c r="J111" s="344">
        <f>E22</f>
        <v>26</v>
      </c>
      <c r="K111" s="349" t="s">
        <v>86</v>
      </c>
    </row>
    <row r="112" spans="2:11" ht="15" thickBot="1" x14ac:dyDescent="0.25">
      <c r="B112" s="92"/>
      <c r="C112" s="93" t="s">
        <v>13</v>
      </c>
      <c r="D112" s="93"/>
      <c r="E112" s="106">
        <f>SUM(E108:E110)</f>
        <v>98466.666666666657</v>
      </c>
      <c r="F112" s="93" t="str">
        <f>IF($E$8="","",$E$8)</f>
        <v>KES</v>
      </c>
      <c r="G112" s="335" t="s">
        <v>84</v>
      </c>
      <c r="H112" s="343"/>
      <c r="I112" s="343"/>
      <c r="J112" s="303">
        <v>6</v>
      </c>
      <c r="K112" s="349" t="s">
        <v>87</v>
      </c>
    </row>
    <row r="113" spans="2:16" ht="15" thickTop="1" x14ac:dyDescent="0.2">
      <c r="B113" s="92"/>
      <c r="C113" s="93"/>
      <c r="D113" s="93"/>
      <c r="E113" s="105"/>
      <c r="F113" s="93"/>
      <c r="G113" s="335" t="s">
        <v>130</v>
      </c>
      <c r="H113" s="343"/>
      <c r="I113" s="343"/>
      <c r="J113" s="345">
        <f>(J111/J112)*J110</f>
        <v>4.333333333333333</v>
      </c>
      <c r="K113" s="349" t="s">
        <v>97</v>
      </c>
      <c r="M113" s="140"/>
      <c r="N113" s="140"/>
      <c r="O113" s="140"/>
      <c r="P113" s="140"/>
    </row>
    <row r="114" spans="2:16" x14ac:dyDescent="0.2">
      <c r="B114" s="92"/>
      <c r="C114" s="93"/>
      <c r="D114" s="93"/>
      <c r="E114" s="105"/>
      <c r="F114" s="93"/>
      <c r="G114" s="335" t="s">
        <v>85</v>
      </c>
      <c r="H114" s="343"/>
      <c r="I114" s="343"/>
      <c r="J114" s="303">
        <v>200</v>
      </c>
      <c r="K114" s="349" t="s">
        <v>88</v>
      </c>
      <c r="M114" s="140"/>
      <c r="N114" s="140"/>
      <c r="O114" s="140"/>
      <c r="P114" s="140"/>
    </row>
    <row r="115" spans="2:16" x14ac:dyDescent="0.2">
      <c r="B115" s="92"/>
      <c r="C115" s="93"/>
      <c r="D115" s="93"/>
      <c r="E115" s="105"/>
      <c r="F115" s="93"/>
      <c r="G115" s="335" t="s">
        <v>131</v>
      </c>
      <c r="H115" s="343"/>
      <c r="I115" s="343"/>
      <c r="J115" s="344">
        <f>J114*J113</f>
        <v>866.66666666666663</v>
      </c>
      <c r="K115" s="349" t="s">
        <v>98</v>
      </c>
      <c r="P115" s="140"/>
    </row>
    <row r="116" spans="2:16" x14ac:dyDescent="0.2">
      <c r="B116" s="92"/>
      <c r="C116" s="93" t="s">
        <v>57</v>
      </c>
      <c r="D116" s="93"/>
      <c r="E116" s="78"/>
      <c r="F116" s="93" t="str">
        <f>IF($E$8="","",$E$8)</f>
        <v>KES</v>
      </c>
      <c r="G116" s="335" t="s">
        <v>132</v>
      </c>
      <c r="H116" s="343"/>
      <c r="I116" s="343"/>
      <c r="J116" s="304">
        <v>79</v>
      </c>
      <c r="K116" s="349" t="str">
        <f>IF($E$8="","",$E$8) &amp; "/l"</f>
        <v>KES/l</v>
      </c>
      <c r="P116" s="140"/>
    </row>
    <row r="117" spans="2:16" ht="15" x14ac:dyDescent="0.25">
      <c r="B117" s="102" t="s">
        <v>56</v>
      </c>
      <c r="C117" s="93" t="s">
        <v>17</v>
      </c>
      <c r="D117" s="93"/>
      <c r="E117" s="79"/>
      <c r="F117" s="93"/>
      <c r="G117" s="335" t="s">
        <v>133</v>
      </c>
      <c r="H117" s="343"/>
      <c r="I117" s="343"/>
      <c r="J117" s="346">
        <f>J116*J115</f>
        <v>68466.666666666657</v>
      </c>
      <c r="K117" s="349" t="str">
        <f>IF($E$8="","",$E$8)</f>
        <v>KES</v>
      </c>
      <c r="P117" s="140"/>
    </row>
    <row r="118" spans="2:16" x14ac:dyDescent="0.2">
      <c r="B118" s="92"/>
      <c r="C118" s="93" t="s">
        <v>18</v>
      </c>
      <c r="D118" s="93"/>
      <c r="E118" s="80"/>
      <c r="F118" s="93" t="s">
        <v>72</v>
      </c>
      <c r="G118" s="336"/>
      <c r="H118" s="347"/>
      <c r="I118" s="347"/>
      <c r="J118" s="347"/>
      <c r="K118" s="355"/>
      <c r="M118" s="140"/>
      <c r="N118" s="140"/>
      <c r="O118" s="140"/>
      <c r="P118" s="140"/>
    </row>
    <row r="119" spans="2:16" x14ac:dyDescent="0.2">
      <c r="B119" s="92"/>
      <c r="C119" s="93" t="s">
        <v>73</v>
      </c>
      <c r="D119" s="93"/>
      <c r="E119" s="479"/>
      <c r="F119" s="479"/>
      <c r="G119" s="93"/>
      <c r="H119" s="93"/>
      <c r="I119" s="93"/>
      <c r="J119" s="93"/>
      <c r="K119" s="94"/>
    </row>
    <row r="120" spans="2:16" ht="15" thickBot="1" x14ac:dyDescent="0.25">
      <c r="B120" s="95"/>
      <c r="C120" s="96"/>
      <c r="D120" s="96"/>
      <c r="E120" s="96"/>
      <c r="F120" s="96"/>
      <c r="G120" s="96"/>
      <c r="H120" s="96"/>
      <c r="I120" s="96"/>
      <c r="J120" s="96"/>
      <c r="K120" s="97"/>
    </row>
  </sheetData>
  <sheetProtection algorithmName="SHA-512" hashValue="MlHHu4HHve+ofTZdjKCWoGvl24mdCnELV606jpmyLYC1rhItYUweblMhTuIZPZ9Fs5TynsmevJ+iJNdLKZznUg==" saltValue="5TuMMICi9crp08kIZOl7hg==" spinCount="100000" sheet="1"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count="1">
    <dataValidation type="list" allowBlank="1" showInputMessage="1" showErrorMessage="1" sqref="I95">
      <formula1>$I$97:$I$99</formula1>
    </dataValidation>
  </dataValidations>
  <hyperlinks>
    <hyperlink ref="I68" r:id="rId1"/>
    <hyperlink ref="J100" r:id="rId2"/>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AA91"/>
  <sheetViews>
    <sheetView showGridLines="0" showWhiteSpace="0" view="pageBreakPreview" topLeftCell="A18" zoomScale="60" zoomScaleNormal="20" zoomScalePageLayoutView="25" workbookViewId="0">
      <selection activeCell="H72" sqref="H72"/>
    </sheetView>
  </sheetViews>
  <sheetFormatPr baseColWidth="10" defaultColWidth="11.7109375" defaultRowHeight="18" x14ac:dyDescent="0.25"/>
  <cols>
    <col min="1" max="1" width="2" style="272" customWidth="1"/>
    <col min="2" max="2" width="11.42578125" style="272" customWidth="1"/>
    <col min="3" max="3" width="19" style="272" customWidth="1"/>
    <col min="4" max="4" width="27.5703125" style="272" customWidth="1"/>
    <col min="5" max="5" width="26.28515625" style="272" customWidth="1"/>
    <col min="6" max="6" width="11.7109375" style="272"/>
    <col min="7" max="7" width="1.7109375" style="272" customWidth="1"/>
    <col min="8" max="8" width="14.7109375" style="272" bestFit="1" customWidth="1"/>
    <col min="9" max="9" width="16.5703125" style="272" customWidth="1"/>
    <col min="10" max="10" width="26.42578125" style="272" customWidth="1"/>
    <col min="11" max="11" width="22.5703125" style="272" customWidth="1"/>
    <col min="12" max="12" width="13.5703125" style="272" customWidth="1"/>
    <col min="13" max="13" width="1.7109375" style="272" customWidth="1"/>
    <col min="14" max="14" width="11.7109375" style="272"/>
    <col min="15" max="15" width="19" style="272" customWidth="1"/>
    <col min="16" max="16" width="27" style="272" customWidth="1"/>
    <col min="17" max="17" width="25.42578125" style="272" customWidth="1"/>
    <col min="18" max="18" width="13.140625" style="272" customWidth="1"/>
    <col min="19" max="19" width="2.85546875" style="272" customWidth="1"/>
    <col min="20" max="16384" width="11.7109375" style="272"/>
  </cols>
  <sheetData>
    <row r="1" spans="1:19" ht="24" customHeight="1" x14ac:dyDescent="0.4">
      <c r="A1" s="288"/>
      <c r="B1" s="288"/>
      <c r="C1" s="288"/>
      <c r="D1" s="288"/>
      <c r="E1" s="288"/>
      <c r="F1" s="288"/>
      <c r="G1" s="483" t="s">
        <v>160</v>
      </c>
      <c r="H1" s="483"/>
      <c r="I1" s="483"/>
      <c r="J1" s="483"/>
      <c r="K1" s="483"/>
      <c r="L1" s="483"/>
      <c r="M1" s="288"/>
      <c r="N1" s="288"/>
      <c r="O1" s="288"/>
      <c r="P1" s="288"/>
      <c r="Q1" s="288"/>
      <c r="R1" s="288"/>
      <c r="S1" s="288"/>
    </row>
    <row r="2" spans="1:19" x14ac:dyDescent="0.25">
      <c r="A2" s="288"/>
      <c r="B2" s="288"/>
      <c r="C2" s="288"/>
      <c r="D2" s="288"/>
      <c r="E2" s="288"/>
      <c r="F2" s="288"/>
      <c r="G2" s="288"/>
      <c r="H2" s="288"/>
      <c r="I2" s="288"/>
      <c r="J2" s="288"/>
      <c r="K2" s="288"/>
      <c r="L2" s="288"/>
      <c r="M2" s="288"/>
      <c r="N2" s="288"/>
      <c r="O2" s="288"/>
      <c r="P2" s="288"/>
      <c r="Q2" s="288"/>
      <c r="R2" s="288"/>
      <c r="S2" s="288"/>
    </row>
    <row r="3" spans="1:19" ht="20.25" x14ac:dyDescent="0.25">
      <c r="A3" s="288"/>
      <c r="B3" s="288"/>
      <c r="C3" s="288"/>
      <c r="D3" s="288"/>
      <c r="E3" s="288"/>
      <c r="F3" s="288"/>
      <c r="G3" s="375" t="s">
        <v>81</v>
      </c>
      <c r="H3" s="288"/>
      <c r="I3" s="288"/>
      <c r="J3" s="288"/>
      <c r="K3" s="288"/>
      <c r="L3" s="288"/>
      <c r="M3" s="288"/>
      <c r="N3" s="288"/>
      <c r="O3" s="288"/>
      <c r="P3" s="288"/>
      <c r="Q3" s="288"/>
      <c r="R3" s="288"/>
      <c r="S3" s="288"/>
    </row>
    <row r="4" spans="1:19" ht="18.75" thickBot="1" x14ac:dyDescent="0.3"/>
    <row r="5" spans="1:19" ht="34.5" customHeight="1" x14ac:dyDescent="0.25">
      <c r="B5" s="484" t="s">
        <v>70</v>
      </c>
      <c r="C5" s="485"/>
      <c r="D5" s="485"/>
      <c r="E5" s="485"/>
      <c r="F5" s="486"/>
    </row>
    <row r="6" spans="1:19" ht="32.25" customHeight="1" x14ac:dyDescent="0.35">
      <c r="B6" s="376" t="s">
        <v>61</v>
      </c>
      <c r="C6" s="377"/>
      <c r="D6" s="377"/>
      <c r="E6" s="378" t="str">
        <f>Input!E22 &amp; " m³ per day"</f>
        <v>26 m³ per day</v>
      </c>
      <c r="F6" s="379"/>
      <c r="H6" s="482" t="s">
        <v>111</v>
      </c>
      <c r="I6" s="482"/>
      <c r="J6" s="482"/>
      <c r="K6" s="482"/>
      <c r="L6" s="482"/>
      <c r="M6" s="482"/>
      <c r="N6" s="482"/>
      <c r="O6" s="482"/>
    </row>
    <row r="7" spans="1:19" ht="15" customHeight="1" x14ac:dyDescent="0.35">
      <c r="B7" s="376"/>
      <c r="C7" s="377"/>
      <c r="D7" s="377"/>
      <c r="E7" s="378"/>
      <c r="F7" s="379"/>
      <c r="H7" s="481" t="s">
        <v>116</v>
      </c>
      <c r="I7" s="481"/>
      <c r="J7" s="481"/>
      <c r="K7" s="481"/>
      <c r="L7" s="481"/>
      <c r="M7" s="481"/>
      <c r="N7" s="481"/>
      <c r="O7" s="481"/>
    </row>
    <row r="8" spans="1:19" ht="18" customHeight="1" x14ac:dyDescent="0.35">
      <c r="B8" s="376" t="s">
        <v>58</v>
      </c>
      <c r="C8" s="377"/>
      <c r="D8" s="377"/>
      <c r="E8" s="380" t="str">
        <f>TEXT(Input!E24,"#.##0") &amp;" " &amp; Input!E8</f>
        <v>217.770 KES</v>
      </c>
      <c r="F8" s="379"/>
      <c r="H8" s="481"/>
      <c r="I8" s="481"/>
      <c r="J8" s="481"/>
      <c r="K8" s="481"/>
      <c r="L8" s="481"/>
      <c r="M8" s="481"/>
      <c r="N8" s="481"/>
      <c r="O8" s="481"/>
    </row>
    <row r="9" spans="1:19" ht="15" customHeight="1" x14ac:dyDescent="0.35">
      <c r="B9" s="376"/>
      <c r="C9" s="377"/>
      <c r="D9" s="377"/>
      <c r="E9" s="377"/>
      <c r="F9" s="379"/>
      <c r="H9" s="481"/>
      <c r="I9" s="481"/>
      <c r="J9" s="481"/>
      <c r="K9" s="481"/>
      <c r="L9" s="481"/>
      <c r="M9" s="481"/>
      <c r="N9" s="481"/>
      <c r="O9" s="481"/>
    </row>
    <row r="10" spans="1:19" ht="18" customHeight="1" x14ac:dyDescent="0.35">
      <c r="B10" s="376" t="s">
        <v>157</v>
      </c>
      <c r="C10" s="377"/>
      <c r="D10" s="377"/>
      <c r="E10" s="377" t="str">
        <f>TEXT(Input!E24,"#.##0")*Input!E26 &amp;" " &amp; Input!E8</f>
        <v>217770 KES</v>
      </c>
      <c r="F10" s="379"/>
      <c r="H10" s="481" t="s">
        <v>91</v>
      </c>
      <c r="I10" s="481"/>
      <c r="J10" s="481"/>
      <c r="K10" s="481"/>
      <c r="L10" s="481"/>
      <c r="M10" s="481"/>
      <c r="N10" s="481"/>
      <c r="O10" s="481"/>
    </row>
    <row r="11" spans="1:19" ht="15" customHeight="1" x14ac:dyDescent="0.35">
      <c r="B11" s="376"/>
      <c r="C11" s="377"/>
      <c r="D11" s="377"/>
      <c r="E11" s="377"/>
      <c r="F11" s="379"/>
      <c r="H11" s="481"/>
      <c r="I11" s="481"/>
      <c r="J11" s="481"/>
      <c r="K11" s="481"/>
      <c r="L11" s="481"/>
      <c r="M11" s="481"/>
      <c r="N11" s="481"/>
      <c r="O11" s="481"/>
    </row>
    <row r="12" spans="1:19" ht="18" customHeight="1" x14ac:dyDescent="0.35">
      <c r="B12" s="376" t="s">
        <v>15</v>
      </c>
      <c r="C12" s="377"/>
      <c r="D12" s="377"/>
      <c r="E12" s="381">
        <f>Input!E10</f>
        <v>0.115</v>
      </c>
      <c r="F12" s="379"/>
      <c r="H12" s="481"/>
      <c r="I12" s="481"/>
      <c r="J12" s="481"/>
      <c r="K12" s="481"/>
      <c r="L12" s="481"/>
      <c r="M12" s="481"/>
      <c r="N12" s="481"/>
      <c r="O12" s="481"/>
    </row>
    <row r="13" spans="1:19" ht="20.25" customHeight="1" x14ac:dyDescent="0.35">
      <c r="B13" s="376"/>
      <c r="C13" s="377"/>
      <c r="D13" s="377"/>
      <c r="E13" s="378"/>
      <c r="F13" s="379"/>
      <c r="H13" s="481" t="s">
        <v>202</v>
      </c>
      <c r="I13" s="481"/>
      <c r="J13" s="481"/>
      <c r="K13" s="481"/>
      <c r="L13" s="481"/>
      <c r="M13" s="481"/>
      <c r="N13" s="481"/>
      <c r="O13" s="481"/>
    </row>
    <row r="14" spans="1:19" ht="20.25" customHeight="1" x14ac:dyDescent="0.35">
      <c r="B14" s="376" t="s">
        <v>80</v>
      </c>
      <c r="C14" s="377"/>
      <c r="D14" s="377"/>
      <c r="E14" s="381">
        <f>Input!E12</f>
        <v>0.16</v>
      </c>
      <c r="F14" s="379"/>
      <c r="H14" s="481"/>
      <c r="I14" s="481"/>
      <c r="J14" s="481"/>
      <c r="K14" s="481"/>
      <c r="L14" s="481"/>
      <c r="M14" s="481"/>
      <c r="N14" s="481"/>
      <c r="O14" s="481"/>
    </row>
    <row r="15" spans="1:19" ht="23.25" x14ac:dyDescent="0.35">
      <c r="B15" s="376"/>
      <c r="C15" s="377"/>
      <c r="D15" s="377"/>
      <c r="E15" s="378"/>
      <c r="F15" s="379"/>
      <c r="H15" s="481"/>
      <c r="I15" s="481"/>
      <c r="J15" s="481"/>
      <c r="K15" s="481"/>
      <c r="L15" s="481"/>
      <c r="M15" s="481"/>
      <c r="N15" s="481"/>
      <c r="O15" s="481"/>
    </row>
    <row r="16" spans="1:19" ht="23.25" x14ac:dyDescent="0.35">
      <c r="B16" s="376" t="s">
        <v>32</v>
      </c>
      <c r="C16" s="377"/>
      <c r="D16" s="377"/>
      <c r="E16" s="381">
        <f>Input!E14</f>
        <v>0.1</v>
      </c>
      <c r="F16" s="379"/>
    </row>
    <row r="17" spans="2:27" ht="23.25" x14ac:dyDescent="0.35">
      <c r="B17" s="376"/>
      <c r="C17" s="377"/>
      <c r="D17" s="377"/>
      <c r="E17" s="378"/>
      <c r="F17" s="379"/>
    </row>
    <row r="18" spans="2:27" ht="23.25" x14ac:dyDescent="0.35">
      <c r="B18" s="376" t="s">
        <v>77</v>
      </c>
      <c r="C18" s="377"/>
      <c r="D18" s="377"/>
      <c r="E18" s="381">
        <f>Input!E16</f>
        <v>0.04</v>
      </c>
      <c r="F18" s="379"/>
    </row>
    <row r="19" spans="2:27" ht="18.75" thickBot="1" x14ac:dyDescent="0.3">
      <c r="B19" s="277"/>
      <c r="C19" s="278"/>
      <c r="D19" s="278"/>
      <c r="E19" s="280"/>
      <c r="F19" s="279"/>
    </row>
    <row r="20" spans="2:27" ht="44.25" customHeight="1" x14ac:dyDescent="0.25">
      <c r="B20" s="491" t="str">
        <f>"Analysis for " &amp;Input!D30</f>
        <v>Analysis for Solar powered irrigation system</v>
      </c>
      <c r="C20" s="492"/>
      <c r="D20" s="492"/>
      <c r="E20" s="492"/>
      <c r="F20" s="493"/>
      <c r="H20" s="487" t="str">
        <f>"Analysis for " &amp;Input!D60</f>
        <v>Analysis for Grid powered irrigation system</v>
      </c>
      <c r="I20" s="488"/>
      <c r="J20" s="488"/>
      <c r="K20" s="488"/>
      <c r="L20" s="488"/>
      <c r="N20" s="489" t="str">
        <f>"Analysis for " &amp;Input!D92</f>
        <v>Analysis for Diesel powered irrigation system</v>
      </c>
      <c r="O20" s="490"/>
      <c r="P20" s="490"/>
      <c r="Q20" s="490"/>
      <c r="R20" s="490"/>
    </row>
    <row r="21" spans="2:27" ht="23.25" x14ac:dyDescent="0.35">
      <c r="B21" s="382" t="s">
        <v>203</v>
      </c>
      <c r="C21" s="383"/>
      <c r="D21" s="383"/>
      <c r="E21" s="399">
        <f>IFERROR('Cashflow Calculation'!C52,"not feasible")</f>
        <v>0.28448383211560913</v>
      </c>
      <c r="F21" s="384"/>
      <c r="G21" s="385"/>
      <c r="H21" s="386" t="s">
        <v>204</v>
      </c>
      <c r="I21" s="387"/>
      <c r="J21" s="387"/>
      <c r="K21" s="403">
        <f>IFERROR('Cashflow Calculation'!C90,"not feasible")</f>
        <v>0.59027149588255101</v>
      </c>
      <c r="L21" s="387"/>
      <c r="M21" s="385"/>
      <c r="N21" s="388" t="s">
        <v>204</v>
      </c>
      <c r="O21" s="389"/>
      <c r="P21" s="389"/>
      <c r="Q21" s="407" t="str">
        <f>IFERROR('Cashflow Calculation'!C156,"not feasible")</f>
        <v>not feasible</v>
      </c>
      <c r="R21" s="389"/>
    </row>
    <row r="22" spans="2:27" ht="9.75" customHeight="1" x14ac:dyDescent="0.35">
      <c r="B22" s="382"/>
      <c r="C22" s="383"/>
      <c r="D22" s="383"/>
      <c r="E22" s="400"/>
      <c r="F22" s="384"/>
      <c r="G22" s="385"/>
      <c r="H22" s="386"/>
      <c r="I22" s="387"/>
      <c r="J22" s="387"/>
      <c r="K22" s="404"/>
      <c r="L22" s="387"/>
      <c r="M22" s="385"/>
      <c r="N22" s="388"/>
      <c r="O22" s="389"/>
      <c r="P22" s="389"/>
      <c r="Q22" s="408"/>
      <c r="R22" s="389"/>
    </row>
    <row r="23" spans="2:27" ht="20.25" customHeight="1" x14ac:dyDescent="0.35">
      <c r="B23" s="382" t="s">
        <v>189</v>
      </c>
      <c r="C23" s="383"/>
      <c r="D23" s="383"/>
      <c r="E23" s="401" t="str">
        <f>TEXT('Cashflow Calculation'!C51,"#.##0") &amp; " " &amp;Input!E8</f>
        <v>4.393.863 KES</v>
      </c>
      <c r="F23" s="384"/>
      <c r="G23" s="385"/>
      <c r="H23" s="386" t="s">
        <v>30</v>
      </c>
      <c r="I23" s="387"/>
      <c r="J23" s="387"/>
      <c r="K23" s="405" t="str">
        <f>TEXT('Cashflow Calculation'!C89,"#.##0") &amp;" " &amp;Input!E8</f>
        <v>7.815.722 KES</v>
      </c>
      <c r="L23" s="387"/>
      <c r="M23" s="385"/>
      <c r="N23" s="388" t="s">
        <v>30</v>
      </c>
      <c r="O23" s="389"/>
      <c r="P23" s="389"/>
      <c r="Q23" s="409" t="str">
        <f>TEXT('Cashflow Calculation'!C155,"#.##0") &amp;" " &amp;Input!E8</f>
        <v>-2.192.816 KES</v>
      </c>
      <c r="R23" s="389"/>
    </row>
    <row r="24" spans="2:27" ht="10.5" customHeight="1" x14ac:dyDescent="0.35">
      <c r="B24" s="382"/>
      <c r="C24" s="383"/>
      <c r="D24" s="383"/>
      <c r="E24" s="401"/>
      <c r="F24" s="384"/>
      <c r="G24" s="385"/>
      <c r="H24" s="386"/>
      <c r="I24" s="387"/>
      <c r="J24" s="387"/>
      <c r="K24" s="404"/>
      <c r="L24" s="387"/>
      <c r="M24" s="385"/>
      <c r="N24" s="388"/>
      <c r="O24" s="389"/>
      <c r="P24" s="389"/>
      <c r="Q24" s="408"/>
      <c r="R24" s="389"/>
    </row>
    <row r="25" spans="2:27" ht="23.25" x14ac:dyDescent="0.35">
      <c r="B25" s="382" t="s">
        <v>199</v>
      </c>
      <c r="C25" s="383"/>
      <c r="D25" s="383"/>
      <c r="E25" s="402" t="str">
        <f>TEXT('Cashflow Calculation'!S187,"#.##0") &amp;" " &amp;Input!E8</f>
        <v>7.444.214 KES</v>
      </c>
      <c r="F25" s="384"/>
      <c r="G25" s="385"/>
      <c r="H25" s="386" t="s">
        <v>199</v>
      </c>
      <c r="I25" s="387"/>
      <c r="J25" s="387"/>
      <c r="K25" s="404" t="str">
        <f>TEXT('Cashflow Calculation'!S188,"#.##0") &amp;" " &amp;Input!E8</f>
        <v>9.506.129 KES</v>
      </c>
      <c r="L25" s="387"/>
      <c r="M25" s="385"/>
      <c r="N25" s="388" t="s">
        <v>199</v>
      </c>
      <c r="O25" s="389"/>
      <c r="P25" s="389"/>
      <c r="Q25" s="408" t="str">
        <f>TEXT('Cashflow Calculation'!S189,"#.##0") &amp;" " &amp;Input!E8</f>
        <v>-2.409.080 KES</v>
      </c>
      <c r="R25" s="389"/>
      <c r="Z25" s="273"/>
    </row>
    <row r="26" spans="2:27" ht="10.5" customHeight="1" x14ac:dyDescent="0.35">
      <c r="B26" s="382"/>
      <c r="C26" s="383"/>
      <c r="D26" s="383"/>
      <c r="E26" s="400"/>
      <c r="F26" s="384"/>
      <c r="G26" s="385"/>
      <c r="H26" s="386"/>
      <c r="I26" s="387"/>
      <c r="J26" s="387"/>
      <c r="K26" s="404"/>
      <c r="L26" s="390"/>
      <c r="M26" s="385"/>
      <c r="N26" s="388"/>
      <c r="O26" s="389"/>
      <c r="P26" s="389"/>
      <c r="Q26" s="408"/>
      <c r="R26" s="391"/>
      <c r="Z26" s="273"/>
      <c r="AA26" s="274"/>
    </row>
    <row r="27" spans="2:27" ht="23.25" x14ac:dyDescent="0.35">
      <c r="B27" s="382" t="s">
        <v>123</v>
      </c>
      <c r="C27" s="383"/>
      <c r="D27" s="383"/>
      <c r="E27" s="401" t="str">
        <f>TEXT('Cashflow Calculation'!B46,"#.##0") &amp;" " &amp;Input!E8</f>
        <v>13.972.825 KES</v>
      </c>
      <c r="F27" s="384"/>
      <c r="G27" s="385"/>
      <c r="H27" s="386" t="s">
        <v>123</v>
      </c>
      <c r="I27" s="387"/>
      <c r="J27" s="387"/>
      <c r="K27" s="405" t="str">
        <f>TEXT('Cashflow Calculation'!B84,"#.##0") &amp;" " &amp;Input!E8</f>
        <v>11.910.910 KES</v>
      </c>
      <c r="L27" s="387"/>
      <c r="M27" s="385"/>
      <c r="N27" s="388" t="s">
        <v>135</v>
      </c>
      <c r="O27" s="389"/>
      <c r="P27" s="389"/>
      <c r="Q27" s="409" t="str">
        <f>TEXT('Cashflow Calculation'!B150,"#.##0") &amp;" " &amp;Input!E8</f>
        <v>23.826.119 KES</v>
      </c>
      <c r="R27" s="389"/>
    </row>
    <row r="28" spans="2:27" ht="12" customHeight="1" x14ac:dyDescent="0.35">
      <c r="B28" s="382"/>
      <c r="C28" s="383"/>
      <c r="D28" s="383"/>
      <c r="E28" s="401"/>
      <c r="F28" s="384"/>
      <c r="G28" s="385"/>
      <c r="H28" s="386"/>
      <c r="I28" s="387"/>
      <c r="J28" s="387"/>
      <c r="K28" s="404"/>
      <c r="L28" s="387"/>
      <c r="M28" s="385"/>
      <c r="N28" s="388"/>
      <c r="O28" s="389"/>
      <c r="P28" s="389"/>
      <c r="Q28" s="408"/>
      <c r="R28" s="389"/>
    </row>
    <row r="29" spans="2:27" ht="23.25" x14ac:dyDescent="0.35">
      <c r="B29" s="382" t="s">
        <v>200</v>
      </c>
      <c r="C29" s="383"/>
      <c r="D29" s="383"/>
      <c r="E29" s="400">
        <f>'Cashflow Calculation'!B44</f>
        <v>4</v>
      </c>
      <c r="F29" s="384"/>
      <c r="G29" s="385"/>
      <c r="H29" s="386" t="s">
        <v>200</v>
      </c>
      <c r="I29" s="387"/>
      <c r="J29" s="387"/>
      <c r="K29" s="404">
        <f>'Cashflow Calculation'!B82</f>
        <v>2</v>
      </c>
      <c r="L29" s="387"/>
      <c r="M29" s="385"/>
      <c r="N29" s="388" t="s">
        <v>200</v>
      </c>
      <c r="O29" s="389"/>
      <c r="P29" s="389"/>
      <c r="Q29" s="408" t="str">
        <f>'Cashflow Calculation'!B148</f>
        <v>no payback</v>
      </c>
      <c r="R29" s="389"/>
    </row>
    <row r="30" spans="2:27" ht="12" customHeight="1" x14ac:dyDescent="0.35">
      <c r="B30" s="382"/>
      <c r="C30" s="383"/>
      <c r="D30" s="383"/>
      <c r="E30" s="400"/>
      <c r="F30" s="384"/>
      <c r="G30" s="385"/>
      <c r="H30" s="386"/>
      <c r="I30" s="387"/>
      <c r="J30" s="387"/>
      <c r="K30" s="404"/>
      <c r="L30" s="387"/>
      <c r="M30" s="385"/>
      <c r="N30" s="388"/>
      <c r="O30" s="389"/>
      <c r="P30" s="389"/>
      <c r="Q30" s="408"/>
      <c r="R30" s="389"/>
    </row>
    <row r="31" spans="2:27" ht="23.25" x14ac:dyDescent="0.35">
      <c r="B31" s="382" t="s">
        <v>82</v>
      </c>
      <c r="C31" s="383"/>
      <c r="D31" s="383"/>
      <c r="E31" s="401" t="str">
        <f>IF(Input!E56=0,"",Input!E56)</f>
        <v/>
      </c>
      <c r="F31" s="384"/>
      <c r="G31" s="385"/>
      <c r="H31" s="386" t="s">
        <v>82</v>
      </c>
      <c r="I31" s="387"/>
      <c r="J31" s="387"/>
      <c r="K31" s="404" t="str">
        <f>IF(Input!E88=0,"",Input!E88)</f>
        <v/>
      </c>
      <c r="L31" s="387"/>
      <c r="M31" s="385"/>
      <c r="N31" s="388" t="s">
        <v>82</v>
      </c>
      <c r="O31" s="389"/>
      <c r="P31" s="389"/>
      <c r="Q31" s="408" t="str">
        <f>IF(Input!E119=0,"",Input!E119)</f>
        <v/>
      </c>
      <c r="R31" s="389"/>
    </row>
    <row r="32" spans="2:27" ht="10.5" customHeight="1" x14ac:dyDescent="0.35">
      <c r="B32" s="382"/>
      <c r="C32" s="383"/>
      <c r="D32" s="383"/>
      <c r="E32" s="401"/>
      <c r="F32" s="384"/>
      <c r="G32" s="385"/>
      <c r="H32" s="386"/>
      <c r="I32" s="387"/>
      <c r="J32" s="387"/>
      <c r="K32" s="404"/>
      <c r="L32" s="387"/>
      <c r="M32" s="385"/>
      <c r="N32" s="388"/>
      <c r="O32" s="389"/>
      <c r="P32" s="389"/>
      <c r="Q32" s="408"/>
      <c r="R32" s="389"/>
    </row>
    <row r="33" spans="2:18" ht="23.25" x14ac:dyDescent="0.35">
      <c r="B33" s="382" t="s">
        <v>198</v>
      </c>
      <c r="C33" s="383"/>
      <c r="D33" s="383"/>
      <c r="E33" s="401" t="str">
        <f>TEXT('Loan Repayment Solar'!Scheduled_Monthly_Payment,"#.##0") &amp;" " &amp;Input!E8</f>
        <v>0 KES</v>
      </c>
      <c r="F33" s="384"/>
      <c r="G33" s="385"/>
      <c r="H33" s="386" t="s">
        <v>198</v>
      </c>
      <c r="I33" s="387"/>
      <c r="J33" s="387"/>
      <c r="K33" s="405" t="str">
        <f>TEXT('Loan Repayment Grid'!Scheduled_Monthly_Payment,"#.##0") &amp;" " &amp;Input!E8</f>
        <v>0 KES</v>
      </c>
      <c r="L33" s="387"/>
      <c r="M33" s="385"/>
      <c r="N33" s="388" t="s">
        <v>198</v>
      </c>
      <c r="O33" s="389"/>
      <c r="P33" s="389"/>
      <c r="Q33" s="409" t="str">
        <f>TEXT('Loan Repayment Diesel'!Scheduled_Monthly_Payment,"#.##0") &amp;" " &amp;Input!E8</f>
        <v>0 KES</v>
      </c>
      <c r="R33" s="389"/>
    </row>
    <row r="34" spans="2:18" ht="9.75" customHeight="1" x14ac:dyDescent="0.35">
      <c r="B34" s="382"/>
      <c r="C34" s="383"/>
      <c r="D34" s="383"/>
      <c r="E34" s="383"/>
      <c r="F34" s="384"/>
      <c r="G34" s="385"/>
      <c r="H34" s="386"/>
      <c r="I34" s="387"/>
      <c r="J34" s="387"/>
      <c r="K34" s="404"/>
      <c r="L34" s="387"/>
      <c r="M34" s="385"/>
      <c r="N34" s="388"/>
      <c r="O34" s="389"/>
      <c r="P34" s="389"/>
      <c r="Q34" s="408"/>
      <c r="R34" s="389"/>
    </row>
    <row r="35" spans="2:18" ht="22.5" customHeight="1" thickBot="1" x14ac:dyDescent="0.4">
      <c r="B35" s="392"/>
      <c r="C35" s="393"/>
      <c r="D35" s="393"/>
      <c r="E35" s="393"/>
      <c r="F35" s="394"/>
      <c r="G35" s="385"/>
      <c r="H35" s="395" t="s">
        <v>208</v>
      </c>
      <c r="I35" s="396"/>
      <c r="J35" s="396"/>
      <c r="K35" s="406">
        <f>Input!J63</f>
        <v>215.8</v>
      </c>
      <c r="L35" s="396" t="str">
        <f>Input!K63</f>
        <v>kg/year</v>
      </c>
      <c r="M35" s="385"/>
      <c r="N35" s="397" t="s">
        <v>208</v>
      </c>
      <c r="O35" s="398"/>
      <c r="P35" s="398"/>
      <c r="Q35" s="410">
        <f>Input!J95</f>
        <v>2328.7333333333331</v>
      </c>
      <c r="R35" s="398" t="str">
        <f>Input!K95</f>
        <v>kg/year</v>
      </c>
    </row>
    <row r="36" spans="2:18" ht="27.75" customHeight="1" x14ac:dyDescent="0.25"/>
    <row r="58" spans="7:15" x14ac:dyDescent="0.25">
      <c r="G58" s="271"/>
      <c r="H58" s="271"/>
      <c r="I58" s="271"/>
      <c r="J58" s="271"/>
      <c r="K58" s="271"/>
      <c r="L58" s="271"/>
      <c r="M58" s="271"/>
      <c r="N58" s="271"/>
      <c r="O58" s="271"/>
    </row>
    <row r="62" spans="7:15" ht="14.25" customHeight="1" x14ac:dyDescent="0.25"/>
    <row r="63" spans="7:15" ht="14.25" customHeight="1" x14ac:dyDescent="0.25"/>
    <row r="66" spans="7:20" x14ac:dyDescent="0.25">
      <c r="G66" s="271"/>
      <c r="H66" s="271"/>
      <c r="I66" s="271"/>
      <c r="J66" s="271"/>
      <c r="K66" s="271"/>
      <c r="L66" s="271"/>
      <c r="M66" s="271"/>
      <c r="N66" s="271"/>
      <c r="O66" s="271"/>
    </row>
    <row r="67" spans="7:20" x14ac:dyDescent="0.25">
      <c r="G67" s="271"/>
      <c r="H67" s="275"/>
      <c r="I67" s="275"/>
      <c r="J67" s="275"/>
      <c r="K67" s="275"/>
      <c r="L67" s="271"/>
      <c r="M67" s="271"/>
      <c r="N67" s="271"/>
      <c r="O67" s="271"/>
    </row>
    <row r="68" spans="7:20" x14ac:dyDescent="0.25">
      <c r="G68" s="271"/>
      <c r="H68" s="275"/>
      <c r="I68" s="275"/>
      <c r="J68" s="275"/>
      <c r="K68" s="275"/>
      <c r="L68" s="271"/>
      <c r="M68" s="271"/>
      <c r="N68" s="271"/>
      <c r="O68" s="271"/>
    </row>
    <row r="69" spans="7:20" x14ac:dyDescent="0.25">
      <c r="G69" s="271"/>
      <c r="H69" s="271"/>
      <c r="I69" s="271"/>
      <c r="J69" s="271"/>
      <c r="K69" s="271"/>
      <c r="L69" s="271"/>
      <c r="M69" s="271"/>
      <c r="N69" s="271"/>
      <c r="O69" s="271"/>
    </row>
    <row r="70" spans="7:20" ht="12.75" customHeight="1" x14ac:dyDescent="0.25"/>
    <row r="71" spans="7:20" ht="12.75" customHeight="1" x14ac:dyDescent="0.25"/>
    <row r="72" spans="7:20" ht="12.75" customHeight="1" x14ac:dyDescent="0.25">
      <c r="H72" s="276"/>
      <c r="I72" s="276"/>
      <c r="J72" s="276"/>
      <c r="K72" s="276"/>
      <c r="L72" s="276"/>
      <c r="M72" s="276"/>
      <c r="N72" s="276"/>
      <c r="O72" s="276"/>
      <c r="P72" s="276"/>
      <c r="Q72" s="276"/>
      <c r="R72" s="276"/>
      <c r="S72" s="276"/>
      <c r="T72" s="276"/>
    </row>
    <row r="73" spans="7:20" ht="12.75" customHeight="1" x14ac:dyDescent="0.25">
      <c r="H73" s="276"/>
      <c r="I73" s="276"/>
      <c r="J73" s="276"/>
      <c r="K73" s="276"/>
      <c r="L73" s="276"/>
      <c r="M73" s="276"/>
      <c r="N73" s="276"/>
      <c r="O73" s="276"/>
      <c r="P73" s="276"/>
      <c r="Q73" s="276"/>
      <c r="R73" s="276"/>
      <c r="S73" s="276"/>
      <c r="T73" s="276"/>
    </row>
    <row r="74" spans="7:20" ht="12.75" customHeight="1" x14ac:dyDescent="0.25">
      <c r="H74" s="276"/>
      <c r="I74" s="276"/>
      <c r="J74" s="276"/>
      <c r="K74" s="276"/>
      <c r="L74" s="276"/>
      <c r="M74" s="276"/>
      <c r="N74" s="276"/>
      <c r="O74" s="276"/>
      <c r="P74" s="276"/>
      <c r="Q74" s="276"/>
      <c r="R74" s="276"/>
      <c r="S74" s="276"/>
      <c r="T74" s="276"/>
    </row>
    <row r="75" spans="7:20" ht="12.75" customHeight="1" x14ac:dyDescent="0.25">
      <c r="H75" s="276"/>
      <c r="I75" s="276"/>
      <c r="J75" s="276"/>
      <c r="K75" s="276"/>
      <c r="L75" s="276"/>
      <c r="M75" s="276"/>
      <c r="N75" s="276"/>
      <c r="O75" s="276"/>
      <c r="P75" s="276"/>
      <c r="Q75" s="276"/>
      <c r="R75" s="276"/>
      <c r="S75" s="276"/>
      <c r="T75" s="276"/>
    </row>
    <row r="76" spans="7:20" ht="12.75" customHeight="1" x14ac:dyDescent="0.25">
      <c r="G76" s="271"/>
      <c r="H76" s="276"/>
      <c r="I76" s="276"/>
      <c r="J76" s="276"/>
      <c r="K76" s="276"/>
      <c r="L76" s="276"/>
      <c r="M76" s="276"/>
      <c r="N76" s="276"/>
      <c r="O76" s="276"/>
      <c r="P76" s="276"/>
      <c r="Q76" s="276"/>
      <c r="R76" s="276"/>
      <c r="S76" s="276"/>
      <c r="T76" s="276"/>
    </row>
    <row r="77" spans="7:20" ht="12.75" customHeight="1" x14ac:dyDescent="0.25">
      <c r="G77" s="271"/>
      <c r="H77" s="276"/>
      <c r="I77" s="276"/>
      <c r="J77" s="276"/>
      <c r="K77" s="276"/>
      <c r="L77" s="276"/>
      <c r="M77" s="276"/>
      <c r="N77" s="276"/>
      <c r="O77" s="276"/>
      <c r="P77" s="276"/>
      <c r="Q77" s="276"/>
      <c r="R77" s="276"/>
      <c r="S77" s="276"/>
      <c r="T77" s="276"/>
    </row>
    <row r="78" spans="7:20" ht="12.75" customHeight="1" x14ac:dyDescent="0.25">
      <c r="H78" s="276"/>
      <c r="I78" s="276"/>
      <c r="J78" s="276"/>
      <c r="K78" s="276"/>
      <c r="L78" s="276"/>
      <c r="M78" s="276"/>
      <c r="N78" s="276"/>
      <c r="O78" s="276"/>
      <c r="P78" s="276"/>
      <c r="Q78" s="276"/>
      <c r="R78" s="276"/>
      <c r="S78" s="276"/>
      <c r="T78" s="276"/>
    </row>
    <row r="79" spans="7:20" ht="12.75" customHeight="1" x14ac:dyDescent="0.25">
      <c r="H79" s="271"/>
      <c r="I79" s="271"/>
      <c r="J79" s="271"/>
      <c r="K79" s="271"/>
      <c r="L79" s="271"/>
      <c r="M79" s="271"/>
      <c r="N79" s="271"/>
      <c r="O79" s="271"/>
      <c r="P79" s="271"/>
      <c r="Q79" s="271"/>
      <c r="R79" s="271"/>
      <c r="S79" s="271"/>
      <c r="T79" s="271"/>
    </row>
    <row r="80" spans="7:20" ht="12.75" customHeight="1" x14ac:dyDescent="0.25">
      <c r="H80" s="271"/>
      <c r="I80" s="271"/>
      <c r="J80" s="271"/>
      <c r="K80" s="271"/>
      <c r="L80" s="271"/>
      <c r="M80" s="271"/>
      <c r="N80" s="271"/>
      <c r="O80" s="271"/>
      <c r="P80" s="271"/>
      <c r="Q80" s="271"/>
      <c r="R80" s="271"/>
      <c r="S80" s="271"/>
      <c r="T80" s="271"/>
    </row>
    <row r="81" spans="8:20" ht="12.75" customHeight="1" x14ac:dyDescent="0.25">
      <c r="H81" s="271"/>
      <c r="I81" s="271"/>
      <c r="J81" s="271"/>
      <c r="K81" s="271"/>
      <c r="L81" s="271"/>
      <c r="M81" s="271"/>
      <c r="N81" s="271"/>
      <c r="O81" s="271"/>
      <c r="P81" s="271"/>
      <c r="Q81" s="271"/>
      <c r="R81" s="271"/>
      <c r="S81" s="271"/>
      <c r="T81" s="271"/>
    </row>
    <row r="88" spans="8:20" ht="15" customHeight="1" x14ac:dyDescent="0.25"/>
    <row r="91" spans="8:20" ht="14.25" customHeight="1" x14ac:dyDescent="0.25"/>
  </sheetData>
  <sheetProtection algorithmName="SHA-512" hashValue="LD7oU3f+kvczrkm/f573GYZlpC+935psleLUPGOvFR2zBALLwjBaGGlT/ztg++3XwWyDBmZmFVdfUsr1kc+LjQ==" saltValue="TA+5fkAYozwcA8v4KBYlhA==" spinCount="100000" sheet="1" selectLockedCells="1"/>
  <dataConsolidate/>
  <mergeCells count="9">
    <mergeCell ref="H13:O15"/>
    <mergeCell ref="H6:O6"/>
    <mergeCell ref="G1:L1"/>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7"/>
  <sheetViews>
    <sheetView zoomScale="80" zoomScaleNormal="80" workbookViewId="0">
      <pane ySplit="11" topLeftCell="A12" activePane="bottomLeft" state="frozen"/>
      <selection pane="bottomLeft" activeCell="A13" sqref="A13"/>
    </sheetView>
  </sheetViews>
  <sheetFormatPr baseColWidth="10" defaultColWidth="11.42578125" defaultRowHeight="12.75" outlineLevelRow="1" x14ac:dyDescent="0.2"/>
  <cols>
    <col min="1" max="1" width="39.5703125" style="154" customWidth="1"/>
    <col min="2" max="2" width="16.5703125" style="154" bestFit="1" customWidth="1"/>
    <col min="3" max="3" width="16.5703125" style="154" customWidth="1"/>
    <col min="4" max="4" width="11.5703125" style="154" bestFit="1" customWidth="1"/>
    <col min="5" max="5" width="14.28515625" style="154" bestFit="1" customWidth="1"/>
    <col min="6" max="18" width="11.5703125" style="154" bestFit="1" customWidth="1"/>
    <col min="19" max="19" width="15.5703125" style="154" bestFit="1" customWidth="1"/>
    <col min="20" max="29" width="11.5703125" style="154" bestFit="1" customWidth="1"/>
    <col min="30" max="16384" width="11.42578125" style="154"/>
  </cols>
  <sheetData>
    <row r="1" spans="1:30" x14ac:dyDescent="0.2">
      <c r="A1" s="152" t="s">
        <v>60</v>
      </c>
      <c r="B1" s="37">
        <f>Input!E14</f>
        <v>0.1</v>
      </c>
      <c r="C1" s="153"/>
    </row>
    <row r="2" spans="1:30" x14ac:dyDescent="0.2">
      <c r="A2" s="155" t="s">
        <v>19</v>
      </c>
      <c r="B2" s="156">
        <f>Input!E10</f>
        <v>0.115</v>
      </c>
      <c r="C2" s="157"/>
      <c r="D2" s="158"/>
    </row>
    <row r="3" spans="1:30" x14ac:dyDescent="0.2">
      <c r="A3" s="155" t="s">
        <v>169</v>
      </c>
      <c r="B3" s="159">
        <f>Input!E24</f>
        <v>217770</v>
      </c>
      <c r="C3" s="157" t="str">
        <f>IF(Input!$E$8="","",Input!$E$8)</f>
        <v>KES</v>
      </c>
      <c r="D3" s="158"/>
    </row>
    <row r="4" spans="1:30" x14ac:dyDescent="0.2">
      <c r="A4" s="155" t="s">
        <v>156</v>
      </c>
      <c r="B4" s="73">
        <f>Input!E26</f>
        <v>1</v>
      </c>
      <c r="C4" s="157"/>
      <c r="D4" s="158"/>
    </row>
    <row r="5" spans="1:30" x14ac:dyDescent="0.2">
      <c r="A5" s="155" t="s">
        <v>78</v>
      </c>
      <c r="B5" s="73">
        <f>Input!E16</f>
        <v>0.04</v>
      </c>
      <c r="C5" s="157"/>
      <c r="D5" s="158"/>
    </row>
    <row r="6" spans="1:30" x14ac:dyDescent="0.2">
      <c r="A6" s="155" t="s">
        <v>121</v>
      </c>
      <c r="B6" s="73">
        <f>Input!E18</f>
        <v>0.08</v>
      </c>
      <c r="C6" s="157"/>
      <c r="D6" s="158"/>
    </row>
    <row r="7" spans="1:30" x14ac:dyDescent="0.2">
      <c r="A7" s="155" t="s">
        <v>80</v>
      </c>
      <c r="B7" s="73">
        <f>Input!E12</f>
        <v>0.16</v>
      </c>
      <c r="C7" s="157"/>
    </row>
    <row r="8" spans="1:30" x14ac:dyDescent="0.2">
      <c r="A8" s="155" t="s">
        <v>185</v>
      </c>
      <c r="B8" s="283">
        <f>Input!E20</f>
        <v>0</v>
      </c>
      <c r="C8" s="157" t="str">
        <f>IF(Input!$E$8="","",Input!$E$8)</f>
        <v>KES</v>
      </c>
    </row>
    <row r="9" spans="1:30" x14ac:dyDescent="0.2">
      <c r="A9" s="160" t="s">
        <v>61</v>
      </c>
      <c r="B9" s="161">
        <f>Input!E22</f>
        <v>26</v>
      </c>
      <c r="C9" s="162" t="str">
        <f>Input!F22</f>
        <v xml:space="preserve">m³ per day </v>
      </c>
    </row>
    <row r="11" spans="1:30" x14ac:dyDescent="0.2">
      <c r="A11" s="163"/>
      <c r="B11" s="163"/>
      <c r="C11" s="164" t="s">
        <v>64</v>
      </c>
      <c r="D11" s="165">
        <v>0</v>
      </c>
      <c r="E11" s="165">
        <v>1</v>
      </c>
      <c r="F11" s="165">
        <v>2</v>
      </c>
      <c r="G11" s="165">
        <v>3</v>
      </c>
      <c r="H11" s="165">
        <v>4</v>
      </c>
      <c r="I11" s="165">
        <v>5</v>
      </c>
      <c r="J11" s="165">
        <v>6</v>
      </c>
      <c r="K11" s="165">
        <v>7</v>
      </c>
      <c r="L11" s="165">
        <v>8</v>
      </c>
      <c r="M11" s="165">
        <v>9</v>
      </c>
      <c r="N11" s="165">
        <v>10</v>
      </c>
      <c r="O11" s="165">
        <v>11</v>
      </c>
      <c r="P11" s="165">
        <v>12</v>
      </c>
      <c r="Q11" s="165">
        <v>13</v>
      </c>
      <c r="R11" s="165">
        <v>14</v>
      </c>
      <c r="S11" s="165">
        <v>15</v>
      </c>
      <c r="T11" s="165">
        <v>16</v>
      </c>
      <c r="U11" s="165">
        <v>17</v>
      </c>
      <c r="V11" s="165">
        <v>18</v>
      </c>
      <c r="W11" s="165">
        <v>19</v>
      </c>
      <c r="X11" s="165">
        <v>20</v>
      </c>
      <c r="Y11" s="165">
        <v>21</v>
      </c>
      <c r="Z11" s="165">
        <v>22</v>
      </c>
      <c r="AA11" s="165">
        <v>23</v>
      </c>
      <c r="AB11" s="165">
        <v>24</v>
      </c>
      <c r="AC11" s="165">
        <v>25</v>
      </c>
      <c r="AD11" s="166"/>
    </row>
    <row r="12" spans="1:30" x14ac:dyDescent="0.2">
      <c r="A12" s="167"/>
      <c r="B12" s="168"/>
      <c r="C12" s="169" t="str">
        <f>IF(Input!$E$8="","",Input!$E$8)</f>
        <v>KES</v>
      </c>
      <c r="D12" s="170">
        <v>0</v>
      </c>
      <c r="E12" s="171">
        <f>B3*B4</f>
        <v>217770</v>
      </c>
      <c r="F12" s="171">
        <f>E12*(1+(1*$B$1))</f>
        <v>239547.00000000003</v>
      </c>
      <c r="G12" s="171">
        <f>F12*(1+(1*$B$1))</f>
        <v>263501.70000000007</v>
      </c>
      <c r="H12" s="171">
        <f t="shared" ref="H12:AC12" si="0">G12*(1+(1*$B$1))</f>
        <v>289851.87000000011</v>
      </c>
      <c r="I12" s="171">
        <f t="shared" si="0"/>
        <v>318837.05700000015</v>
      </c>
      <c r="J12" s="171">
        <f t="shared" si="0"/>
        <v>350720.7627000002</v>
      </c>
      <c r="K12" s="171">
        <f t="shared" si="0"/>
        <v>385792.83897000027</v>
      </c>
      <c r="L12" s="171">
        <f t="shared" si="0"/>
        <v>424372.12286700035</v>
      </c>
      <c r="M12" s="171">
        <f t="shared" si="0"/>
        <v>466809.33515370043</v>
      </c>
      <c r="N12" s="171">
        <f t="shared" si="0"/>
        <v>513490.2686690705</v>
      </c>
      <c r="O12" s="171">
        <f t="shared" si="0"/>
        <v>564839.29553597758</v>
      </c>
      <c r="P12" s="171">
        <f t="shared" si="0"/>
        <v>621323.2250895754</v>
      </c>
      <c r="Q12" s="171">
        <f t="shared" si="0"/>
        <v>683455.54759853298</v>
      </c>
      <c r="R12" s="171">
        <f t="shared" si="0"/>
        <v>751801.10235838639</v>
      </c>
      <c r="S12" s="171">
        <f t="shared" si="0"/>
        <v>826981.21259422507</v>
      </c>
      <c r="T12" s="171">
        <f t="shared" si="0"/>
        <v>909679.33385364769</v>
      </c>
      <c r="U12" s="171">
        <f t="shared" si="0"/>
        <v>1000647.2672390125</v>
      </c>
      <c r="V12" s="171">
        <f t="shared" si="0"/>
        <v>1100711.9939629138</v>
      </c>
      <c r="W12" s="171">
        <f t="shared" si="0"/>
        <v>1210783.1933592053</v>
      </c>
      <c r="X12" s="171">
        <f t="shared" si="0"/>
        <v>1331861.512695126</v>
      </c>
      <c r="Y12" s="171">
        <f t="shared" si="0"/>
        <v>1465047.6639646387</v>
      </c>
      <c r="Z12" s="171">
        <f t="shared" si="0"/>
        <v>1611552.4303611028</v>
      </c>
      <c r="AA12" s="171">
        <f t="shared" si="0"/>
        <v>1772707.6733972132</v>
      </c>
      <c r="AB12" s="171">
        <f t="shared" si="0"/>
        <v>1949978.4407369348</v>
      </c>
      <c r="AC12" s="171">
        <f t="shared" si="0"/>
        <v>2144976.2848106283</v>
      </c>
      <c r="AD12" s="172"/>
    </row>
    <row r="13" spans="1:30" x14ac:dyDescent="0.2">
      <c r="A13" s="173" t="s">
        <v>158</v>
      </c>
      <c r="B13" s="168"/>
      <c r="C13" s="169"/>
      <c r="D13" s="170"/>
      <c r="E13" s="174"/>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72"/>
    </row>
    <row r="14" spans="1:30" x14ac:dyDescent="0.2">
      <c r="A14" s="175" t="b">
        <v>1</v>
      </c>
      <c r="B14" s="168"/>
      <c r="C14" s="169" t="s">
        <v>31</v>
      </c>
      <c r="D14" s="176">
        <f>IF($A$14=TRUE,D15,NA())</f>
        <v>0</v>
      </c>
      <c r="E14" s="176">
        <f>IF($A$14=TRUE,E15,NA())</f>
        <v>217770</v>
      </c>
      <c r="F14" s="176">
        <f t="shared" ref="F14:AC14" si="1">IF($A$14=TRUE,F15,NA())</f>
        <v>457317</v>
      </c>
      <c r="G14" s="176">
        <f t="shared" si="1"/>
        <v>720818.70000000007</v>
      </c>
      <c r="H14" s="176">
        <f t="shared" si="1"/>
        <v>1010670.5700000002</v>
      </c>
      <c r="I14" s="176">
        <f t="shared" si="1"/>
        <v>1329507.6270000003</v>
      </c>
      <c r="J14" s="176">
        <f t="shared" si="1"/>
        <v>1680228.3897000006</v>
      </c>
      <c r="K14" s="176">
        <f t="shared" si="1"/>
        <v>2066021.228670001</v>
      </c>
      <c r="L14" s="176">
        <f t="shared" si="1"/>
        <v>2490393.3515370013</v>
      </c>
      <c r="M14" s="176">
        <f t="shared" si="1"/>
        <v>2957202.6866907016</v>
      </c>
      <c r="N14" s="176">
        <f t="shared" si="1"/>
        <v>3470692.9553597723</v>
      </c>
      <c r="O14" s="176">
        <f t="shared" si="1"/>
        <v>4035532.2508957498</v>
      </c>
      <c r="P14" s="176">
        <f t="shared" si="1"/>
        <v>4656855.4759853249</v>
      </c>
      <c r="Q14" s="176">
        <f t="shared" si="1"/>
        <v>5340311.0235838583</v>
      </c>
      <c r="R14" s="176">
        <f t="shared" si="1"/>
        <v>6092112.1259422451</v>
      </c>
      <c r="S14" s="176">
        <f t="shared" si="1"/>
        <v>6919093.3385364702</v>
      </c>
      <c r="T14" s="176">
        <f t="shared" si="1"/>
        <v>7828772.6723901182</v>
      </c>
      <c r="U14" s="176">
        <f t="shared" si="1"/>
        <v>8829419.9396291301</v>
      </c>
      <c r="V14" s="176">
        <f t="shared" si="1"/>
        <v>9930131.9335920438</v>
      </c>
      <c r="W14" s="176">
        <f t="shared" si="1"/>
        <v>11140915.126951249</v>
      </c>
      <c r="X14" s="176">
        <f t="shared" si="1"/>
        <v>12472776.639646376</v>
      </c>
      <c r="Y14" s="176">
        <f t="shared" si="1"/>
        <v>13937824.303611014</v>
      </c>
      <c r="Z14" s="176">
        <f t="shared" si="1"/>
        <v>15549376.733972117</v>
      </c>
      <c r="AA14" s="176">
        <f t="shared" si="1"/>
        <v>17322084.407369331</v>
      </c>
      <c r="AB14" s="176">
        <f t="shared" si="1"/>
        <v>19272062.848106265</v>
      </c>
      <c r="AC14" s="176">
        <f t="shared" si="1"/>
        <v>21417039.132916894</v>
      </c>
      <c r="AD14" s="172"/>
    </row>
    <row r="15" spans="1:30" x14ac:dyDescent="0.2">
      <c r="A15" s="177"/>
      <c r="B15" s="178"/>
      <c r="C15" s="179"/>
      <c r="D15" s="180">
        <v>0</v>
      </c>
      <c r="E15" s="180">
        <f>SUM(E12)</f>
        <v>217770</v>
      </c>
      <c r="F15" s="180">
        <f>SUM($E$12:F12)</f>
        <v>457317</v>
      </c>
      <c r="G15" s="180">
        <f>SUM($E$12:G12)</f>
        <v>720818.70000000007</v>
      </c>
      <c r="H15" s="180">
        <f>SUM($E$12:H12)</f>
        <v>1010670.5700000002</v>
      </c>
      <c r="I15" s="180">
        <f>SUM($E$12:I12)</f>
        <v>1329507.6270000003</v>
      </c>
      <c r="J15" s="180">
        <f>SUM($E$12:J12)</f>
        <v>1680228.3897000006</v>
      </c>
      <c r="K15" s="180">
        <f>SUM($E$12:K12)</f>
        <v>2066021.228670001</v>
      </c>
      <c r="L15" s="180">
        <f>SUM($E$12:L12)</f>
        <v>2490393.3515370013</v>
      </c>
      <c r="M15" s="180">
        <f>SUM($E$12:M12)</f>
        <v>2957202.6866907016</v>
      </c>
      <c r="N15" s="180">
        <f>SUM($E$12:N12)</f>
        <v>3470692.9553597723</v>
      </c>
      <c r="O15" s="180">
        <f>SUM($E$12:O12)</f>
        <v>4035532.2508957498</v>
      </c>
      <c r="P15" s="180">
        <f>SUM($E$12:P12)</f>
        <v>4656855.4759853249</v>
      </c>
      <c r="Q15" s="180">
        <f>SUM($E$12:Q12)</f>
        <v>5340311.0235838583</v>
      </c>
      <c r="R15" s="180">
        <f>SUM($E$12:R12)</f>
        <v>6092112.1259422451</v>
      </c>
      <c r="S15" s="180">
        <f>SUM($E$12:S12)</f>
        <v>6919093.3385364702</v>
      </c>
      <c r="T15" s="180">
        <f>SUM($E$12:T12)</f>
        <v>7828772.6723901182</v>
      </c>
      <c r="U15" s="180">
        <f>SUM($E$12:U12)</f>
        <v>8829419.9396291301</v>
      </c>
      <c r="V15" s="180">
        <f>SUM($E$12:V12)</f>
        <v>9930131.9335920438</v>
      </c>
      <c r="W15" s="180">
        <f>SUM($E$12:W12)</f>
        <v>11140915.126951249</v>
      </c>
      <c r="X15" s="180">
        <f>SUM($E$12:X12)</f>
        <v>12472776.639646376</v>
      </c>
      <c r="Y15" s="180">
        <f>SUM($E$12:Y12)</f>
        <v>13937824.303611014</v>
      </c>
      <c r="Z15" s="180">
        <f>SUM($E$12:Z12)</f>
        <v>15549376.733972117</v>
      </c>
      <c r="AA15" s="180">
        <f>SUM($E$12:AA12)</f>
        <v>17322084.407369331</v>
      </c>
      <c r="AB15" s="180">
        <f>SUM($E$12:AB12)</f>
        <v>19272062.848106265</v>
      </c>
      <c r="AC15" s="180">
        <f>SUM($E$12:AC12)</f>
        <v>21417039.132916894</v>
      </c>
      <c r="AD15" s="179"/>
    </row>
    <row r="16" spans="1:30" x14ac:dyDescent="0.2">
      <c r="A16" s="168"/>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row>
    <row r="17" spans="1:30"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row>
    <row r="18" spans="1:30" x14ac:dyDescent="0.2">
      <c r="A18" s="168"/>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row>
    <row r="19" spans="1:30" x14ac:dyDescent="0.2">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row>
    <row r="20" spans="1:30" x14ac:dyDescent="0.2">
      <c r="A20" s="181"/>
    </row>
    <row r="21" spans="1:30" x14ac:dyDescent="0.2">
      <c r="A21" s="98" t="str">
        <f>Input!D30</f>
        <v>Solar powered irrigation system</v>
      </c>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3"/>
    </row>
    <row r="22" spans="1:30" x14ac:dyDescent="0.2">
      <c r="A22" s="184"/>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6"/>
    </row>
    <row r="23" spans="1:30" x14ac:dyDescent="0.2">
      <c r="A23" s="187"/>
      <c r="B23" s="185"/>
      <c r="C23" s="188"/>
      <c r="D23" s="188"/>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9"/>
    </row>
    <row r="24" spans="1:30" ht="14.25" x14ac:dyDescent="0.2">
      <c r="A24" s="190" t="str">
        <f>Input!C34</f>
        <v>Solar panels</v>
      </c>
      <c r="B24" s="188"/>
      <c r="C24" s="188" t="str">
        <f>IF(Input!$E$8="","",Input!$E$8)</f>
        <v>KES</v>
      </c>
      <c r="D24" s="185">
        <f>Input!E34</f>
        <v>400000</v>
      </c>
      <c r="E24" s="191">
        <f>IF(MOD(E11,Input!$G$34)=0,($D$24*(1+$B$2)^E11),0)</f>
        <v>0</v>
      </c>
      <c r="F24" s="191">
        <f>IF(MOD(F11,Input!$G$34)=0,($D$24*(1+$B$2)^F11),0)</f>
        <v>0</v>
      </c>
      <c r="G24" s="191">
        <f>IF(MOD(G11,Input!$G$34)=0,($D$24*(1+$B$2)^G11),0)</f>
        <v>0</v>
      </c>
      <c r="H24" s="191">
        <f>IF(MOD(H11,Input!$G$34)=0,($D$24*(1+$B$2)^H11),0)</f>
        <v>0</v>
      </c>
      <c r="I24" s="191">
        <f>IF(MOD(I11,Input!$G$34)=0,($D$24*(1+$B$2)^I11),0)</f>
        <v>0</v>
      </c>
      <c r="J24" s="191">
        <f>IF(MOD(J11,Input!$G$34)=0,($D$24*(1+$B$2)^J11),0)</f>
        <v>0</v>
      </c>
      <c r="K24" s="191">
        <f>IF(MOD(K11,Input!$G$34)=0,($D$24*(1+$B$2)^K11),0)</f>
        <v>0</v>
      </c>
      <c r="L24" s="191">
        <f>IF(MOD(L11,Input!$G$34)=0,($D$24*(1+$B$2)^L11),0)</f>
        <v>0</v>
      </c>
      <c r="M24" s="191">
        <f>IF(MOD(M11,Input!$G$34)=0,($D$24*(1+$B$2)^M11),0)</f>
        <v>0</v>
      </c>
      <c r="N24" s="191">
        <f>IF(MOD(N11,Input!$G$34)=0,($D$24*(1+$B$2)^N11),0)</f>
        <v>0</v>
      </c>
      <c r="O24" s="191">
        <f>IF(MOD(O11,Input!$G$34)=0,($D$24*(1+$B$2)^O11),0)</f>
        <v>0</v>
      </c>
      <c r="P24" s="191">
        <f>IF(MOD(P11,Input!$G$34)=0,($D$24*(1+$B$2)^P11),0)</f>
        <v>0</v>
      </c>
      <c r="Q24" s="191">
        <f>IF(MOD(Q11,Input!$G$34)=0,($D$24*(1+$B$2)^Q11),0)</f>
        <v>0</v>
      </c>
      <c r="R24" s="191">
        <f>IF(MOD(R11,Input!$G$34)=0,($D$24*(1+$B$2)^R11),0)</f>
        <v>0</v>
      </c>
      <c r="S24" s="191">
        <f>IF(MOD(S11,Input!$G$34)=0,($D$24*(1+$B$2)^S11),0)</f>
        <v>0</v>
      </c>
      <c r="T24" s="191">
        <f>IF(MOD(T11,Input!$G$34)=0,($D$24*(1+$B$2)^T11),0)</f>
        <v>0</v>
      </c>
      <c r="U24" s="191">
        <f>IF(MOD(U11,Input!$G$34)=0,($D$24*(1+$B$2)^U11),0)</f>
        <v>0</v>
      </c>
      <c r="V24" s="191">
        <f>IF(MOD(V11,Input!$G$34)=0,($D$24*(1+$B$2)^V11),0)</f>
        <v>0</v>
      </c>
      <c r="W24" s="191">
        <f>IF(MOD(W11,Input!$G$34)=0,($D$24*(1+$B$2)^W11),0)</f>
        <v>0</v>
      </c>
      <c r="X24" s="191">
        <f>IF(MOD(X11,Input!$G$34)=0,($D$24*(1+$B$2)^X11),0)</f>
        <v>3528233.6609079288</v>
      </c>
      <c r="Y24" s="191">
        <f>IF(MOD(Y11,Input!$G$34)=0,($D$24*(1+$B$2)^Y11),0)</f>
        <v>0</v>
      </c>
      <c r="Z24" s="191">
        <f>IF(MOD(Z11,Input!$G$34)=0,($D$24*(1+$B$2)^Z11),0)</f>
        <v>0</v>
      </c>
      <c r="AA24" s="191">
        <f>IF(MOD(AA11,Input!$G$34)=0,($D$24*(1+$B$2)^AA11),0)</f>
        <v>0</v>
      </c>
      <c r="AB24" s="191">
        <f>IF(MOD(AB11,Input!$G$34)=0,($D$24*(1+$B$2)^AB11),0)</f>
        <v>0</v>
      </c>
      <c r="AC24" s="191">
        <f>IF(MOD(AC11,Input!$G$34)=0,($D$24*(1+$B$2)^AC11),0)</f>
        <v>0</v>
      </c>
      <c r="AD24" s="189"/>
    </row>
    <row r="25" spans="1:30" ht="14.25" x14ac:dyDescent="0.2">
      <c r="A25" s="190" t="str">
        <f>Input!C36</f>
        <v>Control unit</v>
      </c>
      <c r="B25" s="188"/>
      <c r="C25" s="188" t="str">
        <f>IF(Input!$E$8="","",Input!$E$8)</f>
        <v>KES</v>
      </c>
      <c r="D25" s="185">
        <f>Input!E36</f>
        <v>50000</v>
      </c>
      <c r="E25" s="191">
        <f>IF(MOD(E11,Input!$G$36)=0,($D$25*(1+$B$2)^E11),0)</f>
        <v>0</v>
      </c>
      <c r="F25" s="191">
        <f>IF(MOD(F11,Input!$G$36)=0,($D$25*(1+$B$2)^F11),0)</f>
        <v>0</v>
      </c>
      <c r="G25" s="191">
        <f>IF(MOD(G11,Input!$G$36)=0,($D$25*(1+$B$2)^G11),0)</f>
        <v>0</v>
      </c>
      <c r="H25" s="191">
        <f>IF(MOD(H11,Input!$G$36)=0,($D$25*(1+$B$2)^H11),0)</f>
        <v>0</v>
      </c>
      <c r="I25" s="191">
        <f>IF(MOD(I11,Input!$G$36)=0,($D$25*(1+$B$2)^I11),0)</f>
        <v>86167.668334843765</v>
      </c>
      <c r="J25" s="191">
        <f>IF(MOD(J11,Input!$G$36)=0,($D$25*(1+$B$2)^J11),0)</f>
        <v>0</v>
      </c>
      <c r="K25" s="191">
        <f>IF(MOD(K11,Input!$G$36)=0,($D$25*(1+$B$2)^K11),0)</f>
        <v>0</v>
      </c>
      <c r="L25" s="191">
        <f>IF(MOD(L11,Input!$G$36)=0,($D$25*(1+$B$2)^L11),0)</f>
        <v>0</v>
      </c>
      <c r="M25" s="191">
        <f>IF(MOD(M11,Input!$G$36)=0,($D$25*(1+$B$2)^M11),0)</f>
        <v>0</v>
      </c>
      <c r="N25" s="191">
        <f>IF(MOD(N11,Input!$G$36)=0,($D$25*(1+$B$2)^N11),0)</f>
        <v>148497.34132527272</v>
      </c>
      <c r="O25" s="191">
        <f>IF(MOD(O11,Input!$G$36)=0,($D$25*(1+$B$2)^O11),0)</f>
        <v>0</v>
      </c>
      <c r="P25" s="191">
        <f>IF(MOD(P11,Input!$G$36)=0,($D$25*(1+$B$2)^P11),0)</f>
        <v>0</v>
      </c>
      <c r="Q25" s="191">
        <f>IF(MOD(Q11,Input!$G$36)=0,($D$25*(1+$B$2)^Q11),0)</f>
        <v>0</v>
      </c>
      <c r="R25" s="191">
        <f>IF(MOD(R11,Input!$G$36)=0,($D$25*(1+$B$2)^R11),0)</f>
        <v>0</v>
      </c>
      <c r="S25" s="191">
        <f>IF(MOD(S11,Input!$G$36)=0,($D$25*(1+$B$2)^S11),0)</f>
        <v>255913.39311844375</v>
      </c>
      <c r="T25" s="191">
        <f>IF(MOD(T11,Input!$G$36)=0,($D$25*(1+$B$2)^T11),0)</f>
        <v>0</v>
      </c>
      <c r="U25" s="191">
        <f>IF(MOD(U11,Input!$G$36)=0,($D$25*(1+$B$2)^U11),0)</f>
        <v>0</v>
      </c>
      <c r="V25" s="191">
        <f>IF(MOD(V11,Input!$G$36)=0,($D$25*(1+$B$2)^V11),0)</f>
        <v>0</v>
      </c>
      <c r="W25" s="191">
        <f>IF(MOD(W11,Input!$G$36)=0,($D$25*(1+$B$2)^W11),0)</f>
        <v>0</v>
      </c>
      <c r="X25" s="191">
        <f>IF(MOD(X11,Input!$G$36)=0,($D$25*(1+$B$2)^X11),0)</f>
        <v>441029.2076134911</v>
      </c>
      <c r="Y25" s="191">
        <f>IF(MOD(Y11,Input!$G$36)=0,($D$25*(1+$B$2)^Y11),0)</f>
        <v>0</v>
      </c>
      <c r="Z25" s="191">
        <f>IF(MOD(Z11,Input!$G$36)=0,($D$25*(1+$B$2)^Z11),0)</f>
        <v>0</v>
      </c>
      <c r="AA25" s="191">
        <f>IF(MOD(AA11,Input!$G$36)=0,($D$25*(1+$B$2)^AA11),0)</f>
        <v>0</v>
      </c>
      <c r="AB25" s="191">
        <f>IF(MOD(AB11,Input!$G$36)=0,($D$25*(1+$B$2)^AB11),0)</f>
        <v>0</v>
      </c>
      <c r="AC25" s="191">
        <f>IF(MOD(AC11,Input!$G$36)=0,($D$25*(1+$B$2)^AC11),0)</f>
        <v>760049.16975236498</v>
      </c>
      <c r="AD25" s="189"/>
    </row>
    <row r="26" spans="1:30" ht="14.25" x14ac:dyDescent="0.2">
      <c r="A26" s="190" t="str">
        <f>Input!C37</f>
        <v>Pump</v>
      </c>
      <c r="B26" s="188"/>
      <c r="C26" s="188" t="str">
        <f>IF(Input!$E$8="","",Input!$E$8)</f>
        <v>KES</v>
      </c>
      <c r="D26" s="185">
        <f>Input!E37</f>
        <v>200000</v>
      </c>
      <c r="E26" s="191">
        <f>IF(MOD(E11,Input!$G$37)=0,($D$26*(1+$B$2)^E11),0)</f>
        <v>0</v>
      </c>
      <c r="F26" s="191">
        <f>IF(MOD(F11,Input!$G$37)=0,($D$26*(1+$B$2)^F11),0)</f>
        <v>0</v>
      </c>
      <c r="G26" s="191">
        <f>IF(MOD(G11,Input!$G$37)=0,($D$26*(1+$B$2)^G11),0)</f>
        <v>0</v>
      </c>
      <c r="H26" s="191">
        <f>IF(MOD(H11,Input!$G$37)=0,($D$26*(1+$B$2)^H11),0)</f>
        <v>0</v>
      </c>
      <c r="I26" s="191">
        <f>IF(MOD(I11,Input!$G$37)=0,($D$26*(1+$B$2)^I11),0)</f>
        <v>0</v>
      </c>
      <c r="J26" s="191">
        <f>IF(MOD(J11,Input!$G$37)=0,($D$26*(1+$B$2)^J11),0)</f>
        <v>0</v>
      </c>
      <c r="K26" s="191">
        <f>IF(MOD(K11,Input!$G$37)=0,($D$26*(1+$B$2)^K11),0)</f>
        <v>428503.19786234456</v>
      </c>
      <c r="L26" s="191">
        <f>IF(MOD(L11,Input!$G$37)=0,($D$26*(1+$B$2)^L11),0)</f>
        <v>0</v>
      </c>
      <c r="M26" s="191">
        <f>IF(MOD(M11,Input!$G$37)=0,($D$26*(1+$B$2)^M11),0)</f>
        <v>0</v>
      </c>
      <c r="N26" s="191">
        <f>IF(MOD(N11,Input!$G$37)=0,($D$26*(1+$B$2)^N11),0)</f>
        <v>0</v>
      </c>
      <c r="O26" s="191">
        <f>IF(MOD(O11,Input!$G$37)=0,($D$26*(1+$B$2)^O11),0)</f>
        <v>0</v>
      </c>
      <c r="P26" s="191">
        <f>IF(MOD(P11,Input!$G$37)=0,($D$26*(1+$B$2)^P11),0)</f>
        <v>0</v>
      </c>
      <c r="Q26" s="191">
        <f>IF(MOD(Q11,Input!$G$37)=0,($D$26*(1+$B$2)^Q11),0)</f>
        <v>0</v>
      </c>
      <c r="R26" s="191">
        <f>IF(MOD(R11,Input!$G$37)=0,($D$26*(1+$B$2)^R11),0)</f>
        <v>918074.95289127808</v>
      </c>
      <c r="S26" s="191">
        <f>IF(MOD(S11,Input!$G$37)=0,($D$26*(1+$B$2)^S11),0)</f>
        <v>0</v>
      </c>
      <c r="T26" s="191">
        <f>IF(MOD(T11,Input!$G$37)=0,($D$26*(1+$B$2)^T11),0)</f>
        <v>0</v>
      </c>
      <c r="U26" s="191">
        <f>IF(MOD(U11,Input!$G$37)=0,($D$26*(1+$B$2)^U11),0)</f>
        <v>0</v>
      </c>
      <c r="V26" s="191">
        <f>IF(MOD(V11,Input!$G$37)=0,($D$26*(1+$B$2)^V11),0)</f>
        <v>0</v>
      </c>
      <c r="W26" s="191">
        <f>IF(MOD(W11,Input!$G$37)=0,($D$26*(1+$B$2)^W11),0)</f>
        <v>0</v>
      </c>
      <c r="X26" s="191">
        <f>IF(MOD(X11,Input!$G$37)=0,($D$26*(1+$B$2)^X11),0)</f>
        <v>0</v>
      </c>
      <c r="Y26" s="191">
        <f>IF(MOD(Y11,Input!$G$37)=0,($D$26*(1+$B$2)^Y11),0)</f>
        <v>1966990.2659561704</v>
      </c>
      <c r="Z26" s="191">
        <f>IF(MOD(Z11,Input!$G$37)=0,($D$26*(1+$B$2)^Z11),0)</f>
        <v>0</v>
      </c>
      <c r="AA26" s="191">
        <f>IF(MOD(AA11,Input!$G$37)=0,($D$26*(1+$B$2)^AA11),0)</f>
        <v>0</v>
      </c>
      <c r="AB26" s="191">
        <f>IF(MOD(AB11,Input!$G$37)=0,($D$26*(1+$B$2)^AB11),0)</f>
        <v>0</v>
      </c>
      <c r="AC26" s="191">
        <f>IF(MOD(AC11,Input!$G$37)=0,($D$26*(1+$B$2)^AC11),0)</f>
        <v>0</v>
      </c>
      <c r="AD26" s="189"/>
    </row>
    <row r="27" spans="1:30" ht="14.25" x14ac:dyDescent="0.2">
      <c r="A27" s="190" t="s">
        <v>8</v>
      </c>
      <c r="B27" s="188"/>
      <c r="C27" s="188" t="str">
        <f>IF(Input!$E$8="","",Input!$E$8)</f>
        <v>KES</v>
      </c>
      <c r="D27" s="185">
        <f>Input!E38</f>
        <v>20000</v>
      </c>
      <c r="E27" s="191">
        <f>IF(MOD(E11,Input!$G$38)=0,($D$27*(1+$B$2)^E11),0)</f>
        <v>0</v>
      </c>
      <c r="F27" s="191">
        <f>IF(MOD(F11,Input!$G$38)=0,($D$27*(1+$B$2)^F11),0)</f>
        <v>0</v>
      </c>
      <c r="G27" s="191">
        <f>IF(MOD(G11,Input!$G$38)=0,($D$27*(1+$B$2)^G11),0)</f>
        <v>0</v>
      </c>
      <c r="H27" s="191">
        <f>IF(MOD(H11,Input!$G$38)=0,($D$27*(1+$B$2)^H11),0)</f>
        <v>0</v>
      </c>
      <c r="I27" s="191">
        <f>IF(MOD(I11,Input!$G$38)=0,($D$27*(1+$B$2)^I11),0)</f>
        <v>34467.067333937506</v>
      </c>
      <c r="J27" s="191">
        <f>IF(MOD(J11,Input!$G$38)=0,($D$27*(1+$B$2)^J11),0)</f>
        <v>0</v>
      </c>
      <c r="K27" s="191">
        <f>IF(MOD(K11,Input!$G$38)=0,($D$27*(1+$B$2)^K11),0)</f>
        <v>0</v>
      </c>
      <c r="L27" s="191">
        <f>IF(MOD(L11,Input!$G$38)=0,($D$27*(1+$B$2)^L11),0)</f>
        <v>0</v>
      </c>
      <c r="M27" s="191">
        <f>IF(MOD(M11,Input!$G$38)=0,($D$27*(1+$B$2)^M11),0)</f>
        <v>0</v>
      </c>
      <c r="N27" s="191">
        <f>IF(MOD(N11,Input!$G$38)=0,($D$27*(1+$B$2)^N11),0)</f>
        <v>59398.936530109087</v>
      </c>
      <c r="O27" s="191">
        <f>IF(MOD(O11,Input!$G$38)=0,($D$27*(1+$B$2)^O11),0)</f>
        <v>0</v>
      </c>
      <c r="P27" s="191">
        <f>IF(MOD(P11,Input!$G$38)=0,($D$27*(1+$B$2)^P11),0)</f>
        <v>0</v>
      </c>
      <c r="Q27" s="191">
        <f>IF(MOD(Q11,Input!$G$38)=0,($D$27*(1+$B$2)^Q11),0)</f>
        <v>0</v>
      </c>
      <c r="R27" s="191">
        <f>IF(MOD(R11,Input!$G$38)=0,($D$27*(1+$B$2)^R11),0)</f>
        <v>0</v>
      </c>
      <c r="S27" s="191">
        <f>IF(MOD(S11,Input!$G$38)=0,($D$27*(1+$B$2)^S11),0)</f>
        <v>102365.35724737751</v>
      </c>
      <c r="T27" s="191">
        <f>IF(MOD(T11,Input!$G$38)=0,($D$27*(1+$B$2)^T11),0)</f>
        <v>0</v>
      </c>
      <c r="U27" s="191">
        <f>IF(MOD(U11,Input!$G$38)=0,($D$27*(1+$B$2)^U11),0)</f>
        <v>0</v>
      </c>
      <c r="V27" s="191">
        <f>IF(MOD(V11,Input!$G$38)=0,($D$27*(1+$B$2)^V11),0)</f>
        <v>0</v>
      </c>
      <c r="W27" s="191">
        <f>IF(MOD(W11,Input!$G$38)=0,($D$27*(1+$B$2)^W11),0)</f>
        <v>0</v>
      </c>
      <c r="X27" s="191">
        <f>IF(MOD(X11,Input!$G$38)=0,($D$27*(1+$B$2)^X11),0)</f>
        <v>176411.68304539644</v>
      </c>
      <c r="Y27" s="191">
        <f>IF(MOD(Y11,Input!$G$38)=0,($D$27*(1+$B$2)^Y11),0)</f>
        <v>0</v>
      </c>
      <c r="Z27" s="191">
        <f>IF(MOD(Z11,Input!$G$38)=0,($D$27*(1+$B$2)^Z11),0)</f>
        <v>0</v>
      </c>
      <c r="AA27" s="191">
        <f>IF(MOD(AA11,Input!$G$38)=0,($D$27*(1+$B$2)^AA11),0)</f>
        <v>0</v>
      </c>
      <c r="AB27" s="191">
        <f>IF(MOD(AB11,Input!$G$38)=0,($D$27*(1+$B$2)^AB11),0)</f>
        <v>0</v>
      </c>
      <c r="AC27" s="191">
        <f>IF(MOD(AC11,Input!$G$38)=0,($D$27*(1+$B$2)^AC11),0)</f>
        <v>304019.66790094599</v>
      </c>
      <c r="AD27" s="189"/>
    </row>
    <row r="28" spans="1:30" ht="14.25" x14ac:dyDescent="0.2">
      <c r="A28" s="190" t="s">
        <v>1</v>
      </c>
      <c r="B28" s="188"/>
      <c r="C28" s="188" t="str">
        <f>IF(Input!$E$8="","",Input!$E$8)</f>
        <v>KES</v>
      </c>
      <c r="D28" s="185">
        <f>Input!E39</f>
        <v>55000</v>
      </c>
      <c r="E28" s="185">
        <f>IF(MOD(E11,Input!$G$39)=0,($D$28*(1+$B$2)^E11),0)</f>
        <v>0</v>
      </c>
      <c r="F28" s="185">
        <f>IF(MOD(F11,Input!$G$39)=0,($D$28*(1+$B$2)^F11),0)</f>
        <v>0</v>
      </c>
      <c r="G28" s="185">
        <f>IF(MOD(G11,Input!$G$39)=0,($D$28*(1+$B$2)^G11),0)</f>
        <v>0</v>
      </c>
      <c r="H28" s="185">
        <f>IF(MOD(H11,Input!$G$39)=0,($D$28*(1+$B$2)^H11),0)</f>
        <v>0</v>
      </c>
      <c r="I28" s="185">
        <f>IF(MOD(I11,Input!$G$39)=0,($D$28*(1+$B$2)^I11),0)</f>
        <v>0</v>
      </c>
      <c r="J28" s="185">
        <f>IF(MOD(J11,Input!$G$39)=0,($D$28*(1+$B$2)^J11),0)</f>
        <v>0</v>
      </c>
      <c r="K28" s="185">
        <f>IF(MOD(K11,Input!$G$39)=0,($D$28*(1+$B$2)^K11),0)</f>
        <v>0</v>
      </c>
      <c r="L28" s="185">
        <f>IF(MOD(L11,Input!$G$39)=0,($D$28*(1+$B$2)^L11),0)</f>
        <v>0</v>
      </c>
      <c r="M28" s="185">
        <f>IF(MOD(M11,Input!$G$39)=0,($D$28*(1+$B$2)^M11),0)</f>
        <v>0</v>
      </c>
      <c r="N28" s="185">
        <f>IF(MOD(N11,Input!$G$39)=0,($D$28*(1+$B$2)^N11),0)</f>
        <v>0</v>
      </c>
      <c r="O28" s="185">
        <f>IF(MOD(O11,Input!$G$39)=0,($D$28*(1+$B$2)^O11),0)</f>
        <v>0</v>
      </c>
      <c r="P28" s="185">
        <f>IF(MOD(P11,Input!$G$39)=0,($D$28*(1+$B$2)^P11),0)</f>
        <v>0</v>
      </c>
      <c r="Q28" s="185">
        <f>IF(MOD(Q11,Input!$G$39)=0,($D$28*(1+$B$2)^Q11),0)</f>
        <v>0</v>
      </c>
      <c r="R28" s="185">
        <f>IF(MOD(R11,Input!$G$39)=0,($D$28*(1+$B$2)^R11),0)</f>
        <v>0</v>
      </c>
      <c r="S28" s="185">
        <f>IF(MOD(S11,Input!$G$39)=0,($D$28*(1+$B$2)^S11),0)</f>
        <v>0</v>
      </c>
      <c r="T28" s="185">
        <f>IF(MOD(T11,Input!$G$39)=0,($D$28*(1+$B$2)^T11),0)</f>
        <v>0</v>
      </c>
      <c r="U28" s="185">
        <f>IF(MOD(U11,Input!$G$39)=0,($D$28*(1+$B$2)^U11),0)</f>
        <v>0</v>
      </c>
      <c r="V28" s="185">
        <f>IF(MOD(V11,Input!$G$39)=0,($D$28*(1+$B$2)^V11),0)</f>
        <v>0</v>
      </c>
      <c r="W28" s="185">
        <f>IF(MOD(W11,Input!$G$39)=0,($D$28*(1+$B$2)^W11),0)</f>
        <v>0</v>
      </c>
      <c r="X28" s="185">
        <f>IF(MOD(X11,Input!$G$39)=0,($D$28*(1+$B$2)^X11),0)</f>
        <v>485132.12837484019</v>
      </c>
      <c r="Y28" s="185">
        <f>IF(MOD(Y11,Input!$G$39)=0,($D$28*(1+$B$2)^Y11),0)</f>
        <v>0</v>
      </c>
      <c r="Z28" s="185">
        <f>IF(MOD(Z11,Input!$G$39)=0,($D$28*(1+$B$2)^Z11),0)</f>
        <v>0</v>
      </c>
      <c r="AA28" s="185">
        <f>IF(MOD(AA11,Input!$G$39)=0,($D$28*(1+$B$2)^AA11),0)</f>
        <v>0</v>
      </c>
      <c r="AB28" s="185">
        <f>IF(MOD(AB11,Input!$G$39)=0,($D$28*(1+$B$2)^AB11),0)</f>
        <v>0</v>
      </c>
      <c r="AC28" s="185">
        <f>IF(MOD(AC11,Input!$G$39)=0,($D$28*(1+$B$2)^AC11),0)</f>
        <v>0</v>
      </c>
      <c r="AD28" s="189"/>
    </row>
    <row r="29" spans="1:30" ht="14.25" x14ac:dyDescent="0.2">
      <c r="A29" s="190" t="s">
        <v>3</v>
      </c>
      <c r="B29" s="188"/>
      <c r="C29" s="188" t="str">
        <f>IF(Input!$E$8="","",Input!$E$8)</f>
        <v>KES</v>
      </c>
      <c r="D29" s="185">
        <f>Input!E40</f>
        <v>80000</v>
      </c>
      <c r="E29" s="191">
        <f>IF(MOD(E11,Input!$G$40)=0,($D$29*(1+$B$2)^E11),0)</f>
        <v>0</v>
      </c>
      <c r="F29" s="191">
        <f>IF(MOD(F11,Input!$G$40)=0,($D$29*(1+$B$2)^F11),0)</f>
        <v>0</v>
      </c>
      <c r="G29" s="191">
        <f>IF(MOD(G11,Input!$G$40)=0,($D$29*(1+$B$2)^G11),0)</f>
        <v>0</v>
      </c>
      <c r="H29" s="191">
        <f>IF(MOD(H11,Input!$G$40)=0,($D$29*(1+$B$2)^H11),0)</f>
        <v>0</v>
      </c>
      <c r="I29" s="191">
        <f>IF(MOD(I11,Input!$G$40)=0,($D$29*(1+$B$2)^I11),0)</f>
        <v>137868.26933575002</v>
      </c>
      <c r="J29" s="191">
        <f>IF(MOD(J11,Input!$G$40)=0,($D$29*(1+$B$2)^J11),0)</f>
        <v>0</v>
      </c>
      <c r="K29" s="191">
        <f>IF(MOD(K11,Input!$G$40)=0,($D$29*(1+$B$2)^K11),0)</f>
        <v>0</v>
      </c>
      <c r="L29" s="191">
        <f>IF(MOD(L11,Input!$G$40)=0,($D$29*(1+$B$2)^L11),0)</f>
        <v>0</v>
      </c>
      <c r="M29" s="191">
        <f>IF(MOD(M11,Input!$G$40)=0,($D$29*(1+$B$2)^M11),0)</f>
        <v>0</v>
      </c>
      <c r="N29" s="191">
        <f>IF(MOD(N11,Input!$G$40)=0,($D$29*(1+$B$2)^N11),0)</f>
        <v>237595.74612043635</v>
      </c>
      <c r="O29" s="191">
        <f>IF(MOD(O11,Input!$G$40)=0,($D$29*(1+$B$2)^O11),0)</f>
        <v>0</v>
      </c>
      <c r="P29" s="191">
        <f>IF(MOD(P11,Input!$G$40)=0,($D$29*(1+$B$2)^P11),0)</f>
        <v>0</v>
      </c>
      <c r="Q29" s="191">
        <f>IF(MOD(Q11,Input!$G$40)=0,($D$29*(1+$B$2)^Q11),0)</f>
        <v>0</v>
      </c>
      <c r="R29" s="191">
        <f>IF(MOD(R11,Input!$G$40)=0,($D$29*(1+$B$2)^R11),0)</f>
        <v>0</v>
      </c>
      <c r="S29" s="191">
        <f>IF(MOD(S11,Input!$G$40)=0,($D$29*(1+$B$2)^S11),0)</f>
        <v>409461.42898951005</v>
      </c>
      <c r="T29" s="191">
        <f>IF(MOD(T11,Input!$G$40)=0,($D$29*(1+$B$2)^T11),0)</f>
        <v>0</v>
      </c>
      <c r="U29" s="191">
        <f>IF(MOD(U11,Input!$G$40)=0,($D$29*(1+$B$2)^U11),0)</f>
        <v>0</v>
      </c>
      <c r="V29" s="191">
        <f>IF(MOD(V11,Input!$G$40)=0,($D$29*(1+$B$2)^V11),0)</f>
        <v>0</v>
      </c>
      <c r="W29" s="191">
        <f>IF(MOD(W11,Input!$G$40)=0,($D$29*(1+$B$2)^W11),0)</f>
        <v>0</v>
      </c>
      <c r="X29" s="191">
        <f>IF(MOD(X11,Input!$G$40)=0,($D$29*(1+$B$2)^X11),0)</f>
        <v>705646.73218158574</v>
      </c>
      <c r="Y29" s="191">
        <f>IF(MOD(Y11,Input!$G$40)=0,($D$29*(1+$B$2)^Y11),0)</f>
        <v>0</v>
      </c>
      <c r="Z29" s="191">
        <f>IF(MOD(Z11,Input!$G$40)=0,($D$29*(1+$B$2)^Z11),0)</f>
        <v>0</v>
      </c>
      <c r="AA29" s="191">
        <f>IF(MOD(AA11,Input!$G$40)=0,($D$29*(1+$B$2)^AA11),0)</f>
        <v>0</v>
      </c>
      <c r="AB29" s="191">
        <f>IF(MOD(AB11,Input!$G$40)=0,($D$29*(1+$B$2)^AB11),0)</f>
        <v>0</v>
      </c>
      <c r="AC29" s="191">
        <f>IF(MOD(AC11,Input!$G$40)=0,($D$29*(1+$B$2)^AC11),0)</f>
        <v>1216078.671603784</v>
      </c>
      <c r="AD29" s="189"/>
    </row>
    <row r="30" spans="1:30" ht="14.25" x14ac:dyDescent="0.2">
      <c r="A30" s="190" t="s">
        <v>2</v>
      </c>
      <c r="B30" s="188"/>
      <c r="C30" s="188" t="str">
        <f>IF(Input!$E$8="","",Input!$E$8)</f>
        <v>KES</v>
      </c>
      <c r="D30" s="185">
        <f>Input!E41</f>
        <v>0</v>
      </c>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9"/>
    </row>
    <row r="31" spans="1:30" ht="14.25" x14ac:dyDescent="0.2">
      <c r="A31" s="190" t="s">
        <v>0</v>
      </c>
      <c r="B31" s="188"/>
      <c r="C31" s="188" t="str">
        <f>IF(Input!$E$8="","",Input!$E$8)</f>
        <v>KES</v>
      </c>
      <c r="D31" s="185">
        <f>Input!E42</f>
        <v>25000</v>
      </c>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9"/>
    </row>
    <row r="32" spans="1:30" ht="14.25" x14ac:dyDescent="0.2">
      <c r="A32" s="190" t="s">
        <v>63</v>
      </c>
      <c r="B32" s="188"/>
      <c r="C32" s="185" t="str">
        <f>IF(Input!$E$8="","",Input!$E$8)</f>
        <v>KES</v>
      </c>
      <c r="D32" s="185">
        <f>Input!E43</f>
        <v>0</v>
      </c>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9"/>
    </row>
    <row r="33" spans="1:30" x14ac:dyDescent="0.2">
      <c r="A33" s="185" t="s">
        <v>93</v>
      </c>
      <c r="B33" s="188"/>
      <c r="C33" s="192" t="str">
        <f>IF(Input!$E$8="","",Input!$E$8)</f>
        <v>KES</v>
      </c>
      <c r="D33" s="192">
        <v>0</v>
      </c>
      <c r="E33" s="193">
        <f>IF(E11&lt;='Loan Repayment Solar'!Loan_Years,'Loan Repayment Solar'!Scheduled_Monthly_Payment,0)</f>
        <v>0</v>
      </c>
      <c r="F33" s="193">
        <f>IF(F11&lt;='Loan Repayment Solar'!Loan_Years,'Loan Repayment Solar'!Scheduled_Monthly_Payment,0)</f>
        <v>0</v>
      </c>
      <c r="G33" s="193">
        <f>IF(G11&lt;='Loan Repayment Solar'!Loan_Years,'Loan Repayment Solar'!Scheduled_Monthly_Payment,0)</f>
        <v>0</v>
      </c>
      <c r="H33" s="193">
        <f>IF(H11&lt;='Loan Repayment Solar'!Loan_Years,'Loan Repayment Solar'!Scheduled_Monthly_Payment,0)</f>
        <v>0</v>
      </c>
      <c r="I33" s="193">
        <f>IF(I11&lt;='Loan Repayment Solar'!Loan_Years,'Loan Repayment Solar'!Scheduled_Monthly_Payment,0)</f>
        <v>0</v>
      </c>
      <c r="J33" s="193">
        <f>IF(J11&lt;='Loan Repayment Solar'!Loan_Years,'Loan Repayment Solar'!Scheduled_Monthly_Payment,0)</f>
        <v>0</v>
      </c>
      <c r="K33" s="193">
        <f>IF(K11&lt;='Loan Repayment Solar'!Loan_Years,'Loan Repayment Solar'!Scheduled_Monthly_Payment,0)</f>
        <v>0</v>
      </c>
      <c r="L33" s="193">
        <f>IF(L11&lt;='Loan Repayment Solar'!Loan_Years,'Loan Repayment Solar'!Scheduled_Monthly_Payment,0)</f>
        <v>0</v>
      </c>
      <c r="M33" s="193">
        <f>IF(M11&lt;='Loan Repayment Solar'!Loan_Years,'Loan Repayment Solar'!Scheduled_Monthly_Payment,0)</f>
        <v>0</v>
      </c>
      <c r="N33" s="193">
        <f>IF(N11&lt;='Loan Repayment Solar'!Loan_Years,'Loan Repayment Solar'!Scheduled_Monthly_Payment,0)</f>
        <v>0</v>
      </c>
      <c r="O33" s="193">
        <f>IF(O11&lt;='Loan Repayment Solar'!Loan_Years,'Loan Repayment Solar'!Scheduled_Monthly_Payment,0)</f>
        <v>0</v>
      </c>
      <c r="P33" s="193">
        <f>IF(P11&lt;='Loan Repayment Solar'!Loan_Years,'Loan Repayment Solar'!Scheduled_Monthly_Payment,0)</f>
        <v>0</v>
      </c>
      <c r="Q33" s="193">
        <f>IF(Q11&lt;='Loan Repayment Solar'!Loan_Years,'Loan Repayment Solar'!Scheduled_Monthly_Payment,0)</f>
        <v>0</v>
      </c>
      <c r="R33" s="193">
        <f>IF(R11&lt;='Loan Repayment Solar'!Loan_Years,'Loan Repayment Solar'!Scheduled_Monthly_Payment,0)</f>
        <v>0</v>
      </c>
      <c r="S33" s="193">
        <f>IF(S11&lt;='Loan Repayment Solar'!Loan_Years,'Loan Repayment Solar'!Scheduled_Monthly_Payment,0)</f>
        <v>0</v>
      </c>
      <c r="T33" s="193">
        <f>IF(T11&lt;='Loan Repayment Solar'!Loan_Years,'Loan Repayment Solar'!Scheduled_Monthly_Payment,0)</f>
        <v>0</v>
      </c>
      <c r="U33" s="193">
        <f>IF(U11&lt;='Loan Repayment Solar'!Loan_Years,'Loan Repayment Solar'!Scheduled_Monthly_Payment,0)</f>
        <v>0</v>
      </c>
      <c r="V33" s="193">
        <f>IF(V11&lt;='Loan Repayment Solar'!Loan_Years,'Loan Repayment Solar'!Scheduled_Monthly_Payment,0)</f>
        <v>0</v>
      </c>
      <c r="W33" s="193">
        <f>IF(W11&lt;='Loan Repayment Solar'!Loan_Years,'Loan Repayment Solar'!Scheduled_Monthly_Payment,0)</f>
        <v>0</v>
      </c>
      <c r="X33" s="193">
        <f>IF(X11&lt;='Loan Repayment Solar'!Loan_Years,'Loan Repayment Solar'!Scheduled_Monthly_Payment,0)</f>
        <v>0</v>
      </c>
      <c r="Y33" s="193">
        <f>IF(Y11&lt;='Loan Repayment Solar'!Loan_Years,'Loan Repayment Solar'!Scheduled_Monthly_Payment,0)</f>
        <v>0</v>
      </c>
      <c r="Z33" s="193">
        <f>IF(Z11&lt;='Loan Repayment Solar'!Loan_Years,'Loan Repayment Solar'!Scheduled_Monthly_Payment,0)</f>
        <v>0</v>
      </c>
      <c r="AA33" s="193">
        <f>IF(AA11&lt;='Loan Repayment Solar'!Loan_Years,'Loan Repayment Solar'!Scheduled_Monthly_Payment,0)</f>
        <v>0</v>
      </c>
      <c r="AB33" s="193">
        <f>IF(AB11&lt;='Loan Repayment Solar'!Loan_Years,'Loan Repayment Solar'!Scheduled_Monthly_Payment,0)</f>
        <v>0</v>
      </c>
      <c r="AC33" s="193">
        <f>IF(AC11&lt;='Loan Repayment Solar'!Loan_Years,'Loan Repayment Solar'!Scheduled_Monthly_Payment,0)</f>
        <v>0</v>
      </c>
      <c r="AD33" s="189"/>
    </row>
    <row r="34" spans="1:30" x14ac:dyDescent="0.2">
      <c r="A34" s="185" t="s">
        <v>79</v>
      </c>
      <c r="B34" s="188"/>
      <c r="C34" s="188" t="str">
        <f>IF(Input!$E$8="","",Input!$E$8)</f>
        <v>KES</v>
      </c>
      <c r="D34" s="188">
        <v>0</v>
      </c>
      <c r="E34" s="185">
        <f>Input!E46</f>
        <v>0</v>
      </c>
      <c r="F34" s="191">
        <f>E34*(1+(1*$B$5))</f>
        <v>0</v>
      </c>
      <c r="G34" s="191">
        <f t="shared" ref="G34:AC34" si="2">F34*(1+(1*$B$5))</f>
        <v>0</v>
      </c>
      <c r="H34" s="191">
        <f t="shared" si="2"/>
        <v>0</v>
      </c>
      <c r="I34" s="191">
        <f t="shared" si="2"/>
        <v>0</v>
      </c>
      <c r="J34" s="191">
        <f t="shared" si="2"/>
        <v>0</v>
      </c>
      <c r="K34" s="191">
        <f t="shared" si="2"/>
        <v>0</v>
      </c>
      <c r="L34" s="191">
        <f t="shared" si="2"/>
        <v>0</v>
      </c>
      <c r="M34" s="191">
        <f t="shared" si="2"/>
        <v>0</v>
      </c>
      <c r="N34" s="191">
        <f t="shared" si="2"/>
        <v>0</v>
      </c>
      <c r="O34" s="191">
        <f t="shared" si="2"/>
        <v>0</v>
      </c>
      <c r="P34" s="191">
        <f t="shared" si="2"/>
        <v>0</v>
      </c>
      <c r="Q34" s="191">
        <f t="shared" si="2"/>
        <v>0</v>
      </c>
      <c r="R34" s="191">
        <f t="shared" si="2"/>
        <v>0</v>
      </c>
      <c r="S34" s="191">
        <f t="shared" si="2"/>
        <v>0</v>
      </c>
      <c r="T34" s="191">
        <f t="shared" si="2"/>
        <v>0</v>
      </c>
      <c r="U34" s="191">
        <f t="shared" si="2"/>
        <v>0</v>
      </c>
      <c r="V34" s="191">
        <f t="shared" si="2"/>
        <v>0</v>
      </c>
      <c r="W34" s="191">
        <f t="shared" si="2"/>
        <v>0</v>
      </c>
      <c r="X34" s="191">
        <f t="shared" si="2"/>
        <v>0</v>
      </c>
      <c r="Y34" s="191">
        <f t="shared" si="2"/>
        <v>0</v>
      </c>
      <c r="Z34" s="191">
        <f t="shared" si="2"/>
        <v>0</v>
      </c>
      <c r="AA34" s="191">
        <f t="shared" si="2"/>
        <v>0</v>
      </c>
      <c r="AB34" s="191">
        <f t="shared" si="2"/>
        <v>0</v>
      </c>
      <c r="AC34" s="191">
        <f t="shared" si="2"/>
        <v>0</v>
      </c>
      <c r="AD34" s="189"/>
    </row>
    <row r="35" spans="1:30" x14ac:dyDescent="0.2">
      <c r="A35" s="187" t="s">
        <v>20</v>
      </c>
      <c r="B35" s="185"/>
      <c r="C35" s="185" t="str">
        <f>IF(Input!$E$8="","",Input!$E$8)</f>
        <v>KES</v>
      </c>
      <c r="D35" s="185">
        <v>0</v>
      </c>
      <c r="E35" s="185">
        <f>SUM(Input!E47:E48)</f>
        <v>6000</v>
      </c>
      <c r="F35" s="191">
        <f t="shared" ref="F35:AC35" si="3">E35*(1+(1*$B$2))</f>
        <v>6690</v>
      </c>
      <c r="G35" s="191">
        <f t="shared" si="3"/>
        <v>7459.35</v>
      </c>
      <c r="H35" s="191">
        <f t="shared" si="3"/>
        <v>8317.1752500000002</v>
      </c>
      <c r="I35" s="191">
        <f t="shared" si="3"/>
        <v>9273.6504037499999</v>
      </c>
      <c r="J35" s="191">
        <f t="shared" si="3"/>
        <v>10340.120200181249</v>
      </c>
      <c r="K35" s="191">
        <f t="shared" si="3"/>
        <v>11529.234023202092</v>
      </c>
      <c r="L35" s="191">
        <f t="shared" si="3"/>
        <v>12855.095935870333</v>
      </c>
      <c r="M35" s="191">
        <f t="shared" si="3"/>
        <v>14333.431968495421</v>
      </c>
      <c r="N35" s="191">
        <f t="shared" si="3"/>
        <v>15981.776644872394</v>
      </c>
      <c r="O35" s="191">
        <f t="shared" si="3"/>
        <v>17819.680959032721</v>
      </c>
      <c r="P35" s="191">
        <f t="shared" si="3"/>
        <v>19868.944269321484</v>
      </c>
      <c r="Q35" s="191">
        <f t="shared" si="3"/>
        <v>22153.872860293453</v>
      </c>
      <c r="R35" s="191">
        <f t="shared" si="3"/>
        <v>24701.568239227199</v>
      </c>
      <c r="S35" s="191">
        <f t="shared" si="3"/>
        <v>27542.248586738326</v>
      </c>
      <c r="T35" s="191">
        <f t="shared" si="3"/>
        <v>30709.607174213234</v>
      </c>
      <c r="U35" s="191">
        <f t="shared" si="3"/>
        <v>34241.211999247753</v>
      </c>
      <c r="V35" s="191">
        <f t="shared" si="3"/>
        <v>38178.951379161241</v>
      </c>
      <c r="W35" s="191">
        <f t="shared" si="3"/>
        <v>42569.530787764787</v>
      </c>
      <c r="X35" s="191">
        <f t="shared" si="3"/>
        <v>47465.026828357739</v>
      </c>
      <c r="Y35" s="191">
        <f t="shared" si="3"/>
        <v>52923.504913618875</v>
      </c>
      <c r="Z35" s="191">
        <f t="shared" si="3"/>
        <v>59009.707978685045</v>
      </c>
      <c r="AA35" s="191">
        <f t="shared" si="3"/>
        <v>65795.824396233831</v>
      </c>
      <c r="AB35" s="191">
        <f t="shared" si="3"/>
        <v>73362.344201800719</v>
      </c>
      <c r="AC35" s="191">
        <f t="shared" si="3"/>
        <v>81799.013785007803</v>
      </c>
      <c r="AD35" s="189"/>
    </row>
    <row r="36" spans="1:30" x14ac:dyDescent="0.2">
      <c r="A36" s="188" t="s">
        <v>185</v>
      </c>
      <c r="B36" s="185"/>
      <c r="C36" s="185"/>
      <c r="D36" s="185"/>
      <c r="E36" s="285">
        <f>$B$8*$B$9</f>
        <v>0</v>
      </c>
      <c r="F36" s="285">
        <f t="shared" ref="F36:AC36" si="4">$B$8*$B$9</f>
        <v>0</v>
      </c>
      <c r="G36" s="285">
        <f t="shared" si="4"/>
        <v>0</v>
      </c>
      <c r="H36" s="285">
        <f t="shared" si="4"/>
        <v>0</v>
      </c>
      <c r="I36" s="285">
        <f t="shared" si="4"/>
        <v>0</v>
      </c>
      <c r="J36" s="285">
        <f t="shared" si="4"/>
        <v>0</v>
      </c>
      <c r="K36" s="285">
        <f t="shared" si="4"/>
        <v>0</v>
      </c>
      <c r="L36" s="285">
        <f t="shared" si="4"/>
        <v>0</v>
      </c>
      <c r="M36" s="285">
        <f t="shared" si="4"/>
        <v>0</v>
      </c>
      <c r="N36" s="285">
        <f t="shared" si="4"/>
        <v>0</v>
      </c>
      <c r="O36" s="285">
        <f t="shared" si="4"/>
        <v>0</v>
      </c>
      <c r="P36" s="285">
        <f t="shared" si="4"/>
        <v>0</v>
      </c>
      <c r="Q36" s="285">
        <f t="shared" si="4"/>
        <v>0</v>
      </c>
      <c r="R36" s="285">
        <f t="shared" si="4"/>
        <v>0</v>
      </c>
      <c r="S36" s="285">
        <f t="shared" si="4"/>
        <v>0</v>
      </c>
      <c r="T36" s="285">
        <f t="shared" si="4"/>
        <v>0</v>
      </c>
      <c r="U36" s="285">
        <f t="shared" si="4"/>
        <v>0</v>
      </c>
      <c r="V36" s="285">
        <f t="shared" si="4"/>
        <v>0</v>
      </c>
      <c r="W36" s="285">
        <f t="shared" si="4"/>
        <v>0</v>
      </c>
      <c r="X36" s="285">
        <f t="shared" si="4"/>
        <v>0</v>
      </c>
      <c r="Y36" s="285">
        <f t="shared" si="4"/>
        <v>0</v>
      </c>
      <c r="Z36" s="285">
        <f t="shared" si="4"/>
        <v>0</v>
      </c>
      <c r="AA36" s="285">
        <f t="shared" si="4"/>
        <v>0</v>
      </c>
      <c r="AB36" s="285">
        <f t="shared" si="4"/>
        <v>0</v>
      </c>
      <c r="AC36" s="285">
        <f t="shared" si="4"/>
        <v>0</v>
      </c>
      <c r="AD36" s="189"/>
    </row>
    <row r="37" spans="1:30" x14ac:dyDescent="0.2">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9"/>
    </row>
    <row r="38" spans="1:30" x14ac:dyDescent="0.2">
      <c r="A38" s="187" t="s">
        <v>21</v>
      </c>
      <c r="B38" s="185"/>
      <c r="C38" s="185" t="str">
        <f>IF(Input!$E$8="","",Input!$E$8)</f>
        <v>KES</v>
      </c>
      <c r="D38" s="185">
        <f>SUM(D24:D32)</f>
        <v>830000</v>
      </c>
      <c r="E38" s="191">
        <f t="shared" ref="E38:K38" si="5">E34+E35+E36+SUMIF(E24:E33,"&lt;1E+307")</f>
        <v>6000</v>
      </c>
      <c r="F38" s="191">
        <f t="shared" si="5"/>
        <v>6690</v>
      </c>
      <c r="G38" s="191">
        <f t="shared" si="5"/>
        <v>7459.35</v>
      </c>
      <c r="H38" s="191">
        <f t="shared" si="5"/>
        <v>8317.1752500000002</v>
      </c>
      <c r="I38" s="191">
        <f t="shared" si="5"/>
        <v>267776.65540828131</v>
      </c>
      <c r="J38" s="191">
        <f t="shared" si="5"/>
        <v>10340.120200181249</v>
      </c>
      <c r="K38" s="191">
        <f t="shared" si="5"/>
        <v>440032.43188554666</v>
      </c>
      <c r="L38" s="191">
        <f t="shared" ref="L38:AC38" si="6">L34+L35+L36+SUMIF(L24:L33,"&lt;1E+307")</f>
        <v>12855.095935870333</v>
      </c>
      <c r="M38" s="191">
        <f t="shared" si="6"/>
        <v>14333.431968495421</v>
      </c>
      <c r="N38" s="191">
        <f t="shared" si="6"/>
        <v>461473.80062069057</v>
      </c>
      <c r="O38" s="191">
        <f t="shared" si="6"/>
        <v>17819.680959032721</v>
      </c>
      <c r="P38" s="191">
        <f t="shared" si="6"/>
        <v>19868.944269321484</v>
      </c>
      <c r="Q38" s="191">
        <f t="shared" si="6"/>
        <v>22153.872860293453</v>
      </c>
      <c r="R38" s="191">
        <f t="shared" si="6"/>
        <v>942776.52113050525</v>
      </c>
      <c r="S38" s="191">
        <f t="shared" si="6"/>
        <v>795282.42794206971</v>
      </c>
      <c r="T38" s="191">
        <f t="shared" si="6"/>
        <v>30709.607174213234</v>
      </c>
      <c r="U38" s="191">
        <f t="shared" si="6"/>
        <v>34241.211999247753</v>
      </c>
      <c r="V38" s="191">
        <f t="shared" si="6"/>
        <v>38178.951379161241</v>
      </c>
      <c r="W38" s="191">
        <f t="shared" si="6"/>
        <v>42569.530787764787</v>
      </c>
      <c r="X38" s="191">
        <f t="shared" si="6"/>
        <v>5383918.4389516003</v>
      </c>
      <c r="Y38" s="191">
        <f t="shared" si="6"/>
        <v>2019913.7708697892</v>
      </c>
      <c r="Z38" s="191">
        <f t="shared" si="6"/>
        <v>59009.707978685045</v>
      </c>
      <c r="AA38" s="191">
        <f t="shared" si="6"/>
        <v>65795.824396233831</v>
      </c>
      <c r="AB38" s="191">
        <f t="shared" si="6"/>
        <v>73362.344201800719</v>
      </c>
      <c r="AC38" s="191">
        <f t="shared" si="6"/>
        <v>2361946.5230421028</v>
      </c>
      <c r="AD38" s="189"/>
    </row>
    <row r="39" spans="1:30" x14ac:dyDescent="0.2">
      <c r="A39" s="185"/>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9"/>
    </row>
    <row r="40" spans="1:30" x14ac:dyDescent="0.2">
      <c r="A40" s="187"/>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9"/>
    </row>
    <row r="41" spans="1:30" x14ac:dyDescent="0.2">
      <c r="A41" s="187" t="s">
        <v>22</v>
      </c>
      <c r="B41" s="185"/>
      <c r="C41" s="191"/>
      <c r="D41" s="191">
        <f>D14-D46</f>
        <v>-830000</v>
      </c>
      <c r="E41" s="191">
        <f>E14-E46</f>
        <v>-618230</v>
      </c>
      <c r="F41" s="191">
        <f>F14-F46</f>
        <v>-385373</v>
      </c>
      <c r="G41" s="191">
        <f t="shared" ref="G41:AC41" si="7">G14-G46</f>
        <v>-129330.64999999991</v>
      </c>
      <c r="H41" s="191">
        <f t="shared" si="7"/>
        <v>152204.04475000023</v>
      </c>
      <c r="I41" s="191">
        <f t="shared" si="7"/>
        <v>203264.44634171901</v>
      </c>
      <c r="J41" s="191">
        <f t="shared" si="7"/>
        <v>543645.08884153818</v>
      </c>
      <c r="K41" s="191">
        <f t="shared" si="7"/>
        <v>489405.4959259918</v>
      </c>
      <c r="L41" s="191">
        <f t="shared" si="7"/>
        <v>900922.52285712166</v>
      </c>
      <c r="M41" s="191">
        <f t="shared" si="7"/>
        <v>1353398.4260423265</v>
      </c>
      <c r="N41" s="191">
        <f t="shared" si="7"/>
        <v>1405414.8940907065</v>
      </c>
      <c r="O41" s="191">
        <f t="shared" si="7"/>
        <v>1952434.5086676513</v>
      </c>
      <c r="P41" s="191">
        <f t="shared" si="7"/>
        <v>2553888.7894879049</v>
      </c>
      <c r="Q41" s="191">
        <f t="shared" si="7"/>
        <v>3215190.4642261448</v>
      </c>
      <c r="R41" s="191">
        <f t="shared" si="7"/>
        <v>3024215.0454540262</v>
      </c>
      <c r="S41" s="191">
        <f t="shared" si="7"/>
        <v>3055913.8301061816</v>
      </c>
      <c r="T41" s="191">
        <f t="shared" si="7"/>
        <v>3934883.5567856166</v>
      </c>
      <c r="U41" s="191">
        <f t="shared" si="7"/>
        <v>4901289.6120253801</v>
      </c>
      <c r="V41" s="191">
        <f t="shared" si="7"/>
        <v>5963822.6546091326</v>
      </c>
      <c r="W41" s="191">
        <f t="shared" si="7"/>
        <v>7132036.3171805739</v>
      </c>
      <c r="X41" s="191">
        <f t="shared" si="7"/>
        <v>3079979.3909240998</v>
      </c>
      <c r="Y41" s="191">
        <f t="shared" si="7"/>
        <v>2525113.2840189487</v>
      </c>
      <c r="Z41" s="191">
        <f t="shared" si="7"/>
        <v>4077656.0064013675</v>
      </c>
      <c r="AA41" s="191">
        <f t="shared" si="7"/>
        <v>5784567.8554023467</v>
      </c>
      <c r="AB41" s="191">
        <f t="shared" si="7"/>
        <v>7661183.9519374799</v>
      </c>
      <c r="AC41" s="191">
        <f t="shared" si="7"/>
        <v>7444213.7137060054</v>
      </c>
      <c r="AD41" s="189"/>
    </row>
    <row r="42" spans="1:30" x14ac:dyDescent="0.2">
      <c r="A42" s="187"/>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9"/>
    </row>
    <row r="43" spans="1:30" x14ac:dyDescent="0.2">
      <c r="A43" s="187"/>
      <c r="B43" s="185"/>
      <c r="C43" s="185"/>
      <c r="D43" s="185" t="str">
        <f>IF(D41&gt;0,"Yes","No")</f>
        <v>No</v>
      </c>
      <c r="E43" s="185" t="str">
        <f>IF(E41&gt;0,"Yes","No")</f>
        <v>No</v>
      </c>
      <c r="F43" s="185" t="str">
        <f t="shared" ref="F43:AC43" si="8">IF(F41&gt;0,"Yes","No")</f>
        <v>No</v>
      </c>
      <c r="G43" s="185" t="str">
        <f t="shared" si="8"/>
        <v>No</v>
      </c>
      <c r="H43" s="185" t="str">
        <f t="shared" si="8"/>
        <v>Yes</v>
      </c>
      <c r="I43" s="185" t="str">
        <f t="shared" si="8"/>
        <v>Yes</v>
      </c>
      <c r="J43" s="185" t="str">
        <f t="shared" si="8"/>
        <v>Yes</v>
      </c>
      <c r="K43" s="185" t="str">
        <f t="shared" si="8"/>
        <v>Yes</v>
      </c>
      <c r="L43" s="185" t="str">
        <f t="shared" si="8"/>
        <v>Yes</v>
      </c>
      <c r="M43" s="185" t="str">
        <f t="shared" si="8"/>
        <v>Yes</v>
      </c>
      <c r="N43" s="185" t="str">
        <f t="shared" si="8"/>
        <v>Yes</v>
      </c>
      <c r="O43" s="185" t="str">
        <f t="shared" si="8"/>
        <v>Yes</v>
      </c>
      <c r="P43" s="185" t="str">
        <f t="shared" si="8"/>
        <v>Yes</v>
      </c>
      <c r="Q43" s="185" t="str">
        <f t="shared" si="8"/>
        <v>Yes</v>
      </c>
      <c r="R43" s="185" t="str">
        <f t="shared" si="8"/>
        <v>Yes</v>
      </c>
      <c r="S43" s="185" t="str">
        <f t="shared" si="8"/>
        <v>Yes</v>
      </c>
      <c r="T43" s="185" t="str">
        <f t="shared" si="8"/>
        <v>Yes</v>
      </c>
      <c r="U43" s="185" t="str">
        <f t="shared" si="8"/>
        <v>Yes</v>
      </c>
      <c r="V43" s="185" t="str">
        <f t="shared" si="8"/>
        <v>Yes</v>
      </c>
      <c r="W43" s="185" t="str">
        <f t="shared" si="8"/>
        <v>Yes</v>
      </c>
      <c r="X43" s="185" t="str">
        <f t="shared" si="8"/>
        <v>Yes</v>
      </c>
      <c r="Y43" s="185" t="str">
        <f t="shared" si="8"/>
        <v>Yes</v>
      </c>
      <c r="Z43" s="185" t="str">
        <f t="shared" si="8"/>
        <v>Yes</v>
      </c>
      <c r="AA43" s="185" t="str">
        <f t="shared" si="8"/>
        <v>Yes</v>
      </c>
      <c r="AB43" s="185" t="str">
        <f t="shared" si="8"/>
        <v>Yes</v>
      </c>
      <c r="AC43" s="185" t="str">
        <f t="shared" si="8"/>
        <v>Yes</v>
      </c>
      <c r="AD43" s="189"/>
    </row>
    <row r="44" spans="1:30" x14ac:dyDescent="0.2">
      <c r="A44" s="260" t="s">
        <v>118</v>
      </c>
      <c r="B44" s="264">
        <f>IF(AC41&lt;0,"no payback",COUNTIF(D41:AC41,"&lt;0"))</f>
        <v>4</v>
      </c>
      <c r="C44" s="262" t="s">
        <v>117</v>
      </c>
      <c r="D44" s="185"/>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89"/>
    </row>
    <row r="45" spans="1:30" x14ac:dyDescent="0.2">
      <c r="A45" s="194"/>
      <c r="B45" s="191"/>
      <c r="C45" s="185"/>
      <c r="D45" s="185"/>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89"/>
    </row>
    <row r="46" spans="1:30" x14ac:dyDescent="0.2">
      <c r="A46" s="260" t="s">
        <v>123</v>
      </c>
      <c r="B46" s="261">
        <f>IF($A$47=TRUE,AC47,NA())</f>
        <v>13972825.419210888</v>
      </c>
      <c r="C46" s="262" t="str">
        <f>IF(Input!$E$8="","",Input!$E$8)</f>
        <v>KES</v>
      </c>
      <c r="D46" s="191">
        <f>IF($A$47=TRUE,D47,NA())</f>
        <v>830000</v>
      </c>
      <c r="E46" s="191">
        <f>IF($A$47=TRUE,E47,NA())</f>
        <v>836000</v>
      </c>
      <c r="F46" s="191">
        <f t="shared" ref="F46:AC46" si="9">IF($A$47=TRUE,F47,NA())</f>
        <v>842690</v>
      </c>
      <c r="G46" s="191">
        <f t="shared" si="9"/>
        <v>850149.35</v>
      </c>
      <c r="H46" s="191">
        <f t="shared" si="9"/>
        <v>858466.52524999995</v>
      </c>
      <c r="I46" s="191">
        <f t="shared" si="9"/>
        <v>1126243.1806582813</v>
      </c>
      <c r="J46" s="191">
        <f t="shared" si="9"/>
        <v>1136583.3008584625</v>
      </c>
      <c r="K46" s="191">
        <f t="shared" si="9"/>
        <v>1576615.7327440092</v>
      </c>
      <c r="L46" s="191">
        <f t="shared" si="9"/>
        <v>1589470.8286798797</v>
      </c>
      <c r="M46" s="191">
        <f t="shared" si="9"/>
        <v>1603804.2606483751</v>
      </c>
      <c r="N46" s="191">
        <f t="shared" si="9"/>
        <v>2065278.0612690658</v>
      </c>
      <c r="O46" s="191">
        <f t="shared" si="9"/>
        <v>2083097.7422280984</v>
      </c>
      <c r="P46" s="191">
        <f t="shared" si="9"/>
        <v>2102966.6864974201</v>
      </c>
      <c r="Q46" s="191">
        <f t="shared" si="9"/>
        <v>2125120.5593577134</v>
      </c>
      <c r="R46" s="191">
        <f t="shared" si="9"/>
        <v>3067897.0804882189</v>
      </c>
      <c r="S46" s="191">
        <f t="shared" si="9"/>
        <v>3863179.5084302886</v>
      </c>
      <c r="T46" s="191">
        <f t="shared" si="9"/>
        <v>3893889.1156045017</v>
      </c>
      <c r="U46" s="191">
        <f t="shared" si="9"/>
        <v>3928130.3276037495</v>
      </c>
      <c r="V46" s="191">
        <f t="shared" si="9"/>
        <v>3966309.2789829108</v>
      </c>
      <c r="W46" s="191">
        <f t="shared" si="9"/>
        <v>4008878.8097706754</v>
      </c>
      <c r="X46" s="191">
        <f t="shared" si="9"/>
        <v>9392797.2487222757</v>
      </c>
      <c r="Y46" s="191">
        <f t="shared" si="9"/>
        <v>11412711.019592065</v>
      </c>
      <c r="Z46" s="191">
        <f t="shared" si="9"/>
        <v>11471720.72757075</v>
      </c>
      <c r="AA46" s="191">
        <f t="shared" si="9"/>
        <v>11537516.551966984</v>
      </c>
      <c r="AB46" s="191">
        <f t="shared" si="9"/>
        <v>11610878.896168785</v>
      </c>
      <c r="AC46" s="191">
        <f t="shared" si="9"/>
        <v>13972825.419210888</v>
      </c>
      <c r="AD46" s="189"/>
    </row>
    <row r="47" spans="1:30" x14ac:dyDescent="0.2">
      <c r="A47" s="187" t="b">
        <v>1</v>
      </c>
      <c r="B47" s="185"/>
      <c r="C47" s="185"/>
      <c r="D47" s="185">
        <f>D38</f>
        <v>830000</v>
      </c>
      <c r="E47" s="191">
        <f>SUM($D$38:E38)</f>
        <v>836000</v>
      </c>
      <c r="F47" s="191">
        <f>SUM($D$38:F38)</f>
        <v>842690</v>
      </c>
      <c r="G47" s="191">
        <f>SUM($D$38:G38)</f>
        <v>850149.35</v>
      </c>
      <c r="H47" s="191">
        <f>SUM($D$38:H38)</f>
        <v>858466.52524999995</v>
      </c>
      <c r="I47" s="191">
        <f>SUM($D$38:I38)</f>
        <v>1126243.1806582813</v>
      </c>
      <c r="J47" s="191">
        <f>SUM($D$38:J38)</f>
        <v>1136583.3008584625</v>
      </c>
      <c r="K47" s="191">
        <f>SUM($D$38:K38)</f>
        <v>1576615.7327440092</v>
      </c>
      <c r="L47" s="191">
        <f>SUM($D$38:L38)</f>
        <v>1589470.8286798797</v>
      </c>
      <c r="M47" s="191">
        <f>SUM($D$38:M38)</f>
        <v>1603804.2606483751</v>
      </c>
      <c r="N47" s="191">
        <f>SUM($D$38:N38)</f>
        <v>2065278.0612690658</v>
      </c>
      <c r="O47" s="191">
        <f>SUM($D$38:O38)</f>
        <v>2083097.7422280984</v>
      </c>
      <c r="P47" s="191">
        <f>SUM($D$38:P38)</f>
        <v>2102966.6864974201</v>
      </c>
      <c r="Q47" s="191">
        <f>SUM($D$38:Q38)</f>
        <v>2125120.5593577134</v>
      </c>
      <c r="R47" s="191">
        <f>SUM($D$38:R38)</f>
        <v>3067897.0804882189</v>
      </c>
      <c r="S47" s="191">
        <f>SUM($D$38:S38)</f>
        <v>3863179.5084302886</v>
      </c>
      <c r="T47" s="191">
        <f>SUM($D$38:T38)</f>
        <v>3893889.1156045017</v>
      </c>
      <c r="U47" s="191">
        <f>SUM($D$38:U38)</f>
        <v>3928130.3276037495</v>
      </c>
      <c r="V47" s="191">
        <f>SUM($D$38:V38)</f>
        <v>3966309.2789829108</v>
      </c>
      <c r="W47" s="191">
        <f>SUM($D$38:W38)</f>
        <v>4008878.8097706754</v>
      </c>
      <c r="X47" s="191">
        <f>SUM($D$38:X38)</f>
        <v>9392797.2487222757</v>
      </c>
      <c r="Y47" s="191">
        <f>SUM($D$38:Y38)</f>
        <v>11412711.019592065</v>
      </c>
      <c r="Z47" s="191">
        <f>SUM($D$38:Z38)</f>
        <v>11471720.72757075</v>
      </c>
      <c r="AA47" s="191">
        <f>SUM($D$38:AA38)</f>
        <v>11537516.551966984</v>
      </c>
      <c r="AB47" s="191">
        <f>SUM($D$38:AB38)</f>
        <v>11610878.896168785</v>
      </c>
      <c r="AC47" s="191">
        <f>SUM($D$38:AC38)</f>
        <v>13972825.419210888</v>
      </c>
      <c r="AD47" s="189"/>
    </row>
    <row r="48" spans="1:30" x14ac:dyDescent="0.2">
      <c r="A48" s="187" t="s">
        <v>171</v>
      </c>
      <c r="B48" s="185"/>
      <c r="C48" s="185" t="str">
        <f>IF(Input!$E$8="","",Input!$E$8&amp;" /m3")</f>
        <v>KES /m3</v>
      </c>
      <c r="D48" s="195">
        <f>D38/($B$9*365)</f>
        <v>87.4604847207587</v>
      </c>
      <c r="E48" s="195">
        <f t="shared" ref="E48:AC48" si="10">E38/($B$9*365)</f>
        <v>0.63224446786090627</v>
      </c>
      <c r="F48" s="195">
        <f t="shared" si="10"/>
        <v>0.70495258166491048</v>
      </c>
      <c r="G48" s="195">
        <f t="shared" si="10"/>
        <v>0.78602212855637521</v>
      </c>
      <c r="H48" s="195">
        <f t="shared" si="10"/>
        <v>0.87641467334035827</v>
      </c>
      <c r="I48" s="195">
        <f t="shared" si="10"/>
        <v>28.216718167363677</v>
      </c>
      <c r="J48" s="195">
        <f t="shared" si="10"/>
        <v>1.0895806322635668</v>
      </c>
      <c r="K48" s="195">
        <f t="shared" si="10"/>
        <v>46.368011789836316</v>
      </c>
      <c r="L48" s="195">
        <f t="shared" si="10"/>
        <v>1.3545938815458729</v>
      </c>
      <c r="M48" s="195">
        <f t="shared" si="10"/>
        <v>1.5103721779236481</v>
      </c>
      <c r="N48" s="195">
        <f t="shared" si="10"/>
        <v>48.627376250863072</v>
      </c>
      <c r="O48" s="195">
        <f t="shared" si="10"/>
        <v>1.8777324508991275</v>
      </c>
      <c r="P48" s="195">
        <f t="shared" si="10"/>
        <v>2.0936716827525275</v>
      </c>
      <c r="Q48" s="195">
        <f t="shared" si="10"/>
        <v>2.3344439262690679</v>
      </c>
      <c r="R48" s="195">
        <f t="shared" si="10"/>
        <v>99.344206652318789</v>
      </c>
      <c r="S48" s="195">
        <f t="shared" si="10"/>
        <v>83.802152575560555</v>
      </c>
      <c r="T48" s="195">
        <f t="shared" si="10"/>
        <v>3.2359965410129856</v>
      </c>
      <c r="U48" s="195">
        <f t="shared" si="10"/>
        <v>3.6081361432294785</v>
      </c>
      <c r="V48" s="195">
        <f t="shared" si="10"/>
        <v>4.023071799700868</v>
      </c>
      <c r="W48" s="195">
        <f t="shared" si="10"/>
        <v>4.4857250566664684</v>
      </c>
      <c r="X48" s="195">
        <f t="shared" si="10"/>
        <v>567.32544140691255</v>
      </c>
      <c r="Y48" s="195">
        <f t="shared" si="10"/>
        <v>212.84655119808104</v>
      </c>
      <c r="Z48" s="195">
        <f t="shared" si="10"/>
        <v>6.2180935699352</v>
      </c>
      <c r="AA48" s="195">
        <f t="shared" si="10"/>
        <v>6.9331743304777484</v>
      </c>
      <c r="AB48" s="195">
        <f t="shared" si="10"/>
        <v>7.7304893784826891</v>
      </c>
      <c r="AC48" s="195">
        <f t="shared" si="10"/>
        <v>248.88793709611198</v>
      </c>
      <c r="AD48" s="189"/>
    </row>
    <row r="49" spans="1:30" x14ac:dyDescent="0.2">
      <c r="A49" s="187" t="s">
        <v>176</v>
      </c>
      <c r="B49" s="195">
        <f>AVERAGE(D48:AC48)</f>
        <v>56.629753664630321</v>
      </c>
      <c r="C49" s="185" t="str">
        <f>IF(Input!$E$8="","",Input!$E$8&amp;" /m3")</f>
        <v>KES /m3</v>
      </c>
      <c r="D49" s="191"/>
      <c r="E49" s="191"/>
      <c r="F49" s="191"/>
      <c r="G49" s="191"/>
      <c r="H49" s="191"/>
      <c r="I49" s="195">
        <f>AVERAGE(D48:I48)</f>
        <v>19.779472789924153</v>
      </c>
      <c r="J49" s="191"/>
      <c r="K49" s="191"/>
      <c r="L49" s="191"/>
      <c r="M49" s="191"/>
      <c r="N49" s="195">
        <f>AVERAGE(D48:N48)</f>
        <v>19.784251951997945</v>
      </c>
      <c r="O49" s="191"/>
      <c r="P49" s="191"/>
      <c r="Q49" s="191"/>
      <c r="R49" s="191"/>
      <c r="S49" s="191"/>
      <c r="T49" s="191"/>
      <c r="U49" s="191"/>
      <c r="V49" s="191"/>
      <c r="W49" s="191"/>
      <c r="X49" s="191"/>
      <c r="Y49" s="191"/>
      <c r="Z49" s="191"/>
      <c r="AA49" s="191"/>
      <c r="AB49" s="191"/>
      <c r="AC49" s="191"/>
      <c r="AD49" s="189"/>
    </row>
    <row r="50" spans="1:30" ht="13.5" thickBot="1" x14ac:dyDescent="0.25">
      <c r="A50" s="187"/>
      <c r="B50" s="185"/>
      <c r="C50" s="195"/>
      <c r="D50" s="19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9"/>
    </row>
    <row r="51" spans="1:30" ht="15" x14ac:dyDescent="0.25">
      <c r="A51" s="196" t="s">
        <v>23</v>
      </c>
      <c r="B51" s="500">
        <f>Input!E12</f>
        <v>0.16</v>
      </c>
      <c r="C51" s="197">
        <f>NPV(B51,E41:AC41)+D41</f>
        <v>4393862.8951089829</v>
      </c>
      <c r="D51" s="185"/>
      <c r="E51" s="263"/>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9"/>
    </row>
    <row r="52" spans="1:30" ht="15.75" thickBot="1" x14ac:dyDescent="0.3">
      <c r="A52" s="196" t="s">
        <v>24</v>
      </c>
      <c r="B52" s="501"/>
      <c r="C52" s="198">
        <f>IRR(D41:AC41)</f>
        <v>0.28448383211560913</v>
      </c>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9"/>
    </row>
    <row r="53" spans="1:30" x14ac:dyDescent="0.2">
      <c r="A53" s="199"/>
      <c r="B53" s="192"/>
      <c r="C53" s="200"/>
      <c r="D53" s="200"/>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201"/>
    </row>
    <row r="59" spans="1:30" x14ac:dyDescent="0.2">
      <c r="A59" s="121" t="str">
        <f>Input!D60</f>
        <v>Grid powered irrigation system</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3"/>
    </row>
    <row r="60" spans="1:30" x14ac:dyDescent="0.2">
      <c r="A60" s="122"/>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5"/>
    </row>
    <row r="61" spans="1:30" x14ac:dyDescent="0.2">
      <c r="A61" s="122"/>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5"/>
    </row>
    <row r="62" spans="1:30" x14ac:dyDescent="0.2">
      <c r="A62" s="206" t="str">
        <f>Input!C64</f>
        <v>Inverter (if pump is DC)</v>
      </c>
      <c r="B62" s="204"/>
      <c r="C62" s="204" t="str">
        <f>IF(Input!$E$8="","",Input!$E$8)</f>
        <v>KES</v>
      </c>
      <c r="D62" s="204">
        <f>Input!E64</f>
        <v>0</v>
      </c>
      <c r="E62" s="212" t="e">
        <f>IF(MOD(E11,Input!$G$64)=0,($D$62*(1+$B$2)^E11),0)</f>
        <v>#DIV/0!</v>
      </c>
      <c r="F62" s="212" t="e">
        <f>IF(MOD(F11,Input!$G$64)=0,($D$62*(1+$B$2)^F11),0)</f>
        <v>#DIV/0!</v>
      </c>
      <c r="G62" s="212" t="e">
        <f>IF(MOD(G11,Input!$G$64)=0,($D$62*(1+$B$2)^G11),0)</f>
        <v>#DIV/0!</v>
      </c>
      <c r="H62" s="212" t="e">
        <f>IF(MOD(H11,Input!$G$64)=0,($D$62*(1+$B$2)^H11),0)</f>
        <v>#DIV/0!</v>
      </c>
      <c r="I62" s="212" t="e">
        <f>IF(MOD(I11,Input!$G$64)=0,($D$62*(1+$B$2)^I11),0)</f>
        <v>#DIV/0!</v>
      </c>
      <c r="J62" s="212" t="e">
        <f>IF(MOD(J11,Input!$G$64)=0,($D$62*(1+$B$2)^J11),0)</f>
        <v>#DIV/0!</v>
      </c>
      <c r="K62" s="212" t="e">
        <f>IF(MOD(K11,Input!$G$64)=0,($D$62*(1+$B$2)^K11),0)</f>
        <v>#DIV/0!</v>
      </c>
      <c r="L62" s="212" t="e">
        <f>IF(MOD(L11,Input!$G$64)=0,($D$62*(1+$B$2)^L11),0)</f>
        <v>#DIV/0!</v>
      </c>
      <c r="M62" s="212" t="e">
        <f>IF(MOD(M11,Input!$G$64)=0,($D$62*(1+$B$2)^M11),0)</f>
        <v>#DIV/0!</v>
      </c>
      <c r="N62" s="212" t="e">
        <f>IF(MOD(N11,Input!$G$64)=0,($D$62*(1+$B$2)^N11),0)</f>
        <v>#DIV/0!</v>
      </c>
      <c r="O62" s="212" t="e">
        <f>IF(MOD(O11,Input!$G$64)=0,($D$62*(1+$B$2)^O11),0)</f>
        <v>#DIV/0!</v>
      </c>
      <c r="P62" s="212" t="e">
        <f>IF(MOD(P11,Input!$G$64)=0,($D$62*(1+$B$2)^P11),0)</f>
        <v>#DIV/0!</v>
      </c>
      <c r="Q62" s="212" t="e">
        <f>IF(MOD(Q11,Input!$G$64)=0,($D$62*(1+$B$2)^Q11),0)</f>
        <v>#DIV/0!</v>
      </c>
      <c r="R62" s="212" t="e">
        <f>IF(MOD(R11,Input!$G$64)=0,($D$62*(1+$B$2)^R11),0)</f>
        <v>#DIV/0!</v>
      </c>
      <c r="S62" s="212" t="e">
        <f>IF(MOD(S11,Input!$G$64)=0,($D$62*(1+$B$2)^S11),0)</f>
        <v>#DIV/0!</v>
      </c>
      <c r="T62" s="212" t="e">
        <f>IF(MOD(T11,Input!$G$64)=0,($D$62*(1+$B$2)^T11),0)</f>
        <v>#DIV/0!</v>
      </c>
      <c r="U62" s="212" t="e">
        <f>IF(MOD(U11,Input!$G$64)=0,($D$62*(1+$B$2)^U11),0)</f>
        <v>#DIV/0!</v>
      </c>
      <c r="V62" s="212" t="e">
        <f>IF(MOD(V11,Input!$G$64)=0,($D$62*(1+$B$2)^V11),0)</f>
        <v>#DIV/0!</v>
      </c>
      <c r="W62" s="212" t="e">
        <f>IF(MOD(W11,Input!$G$64)=0,($D$62*(1+$B$2)^W11),0)</f>
        <v>#DIV/0!</v>
      </c>
      <c r="X62" s="212" t="e">
        <f>IF(MOD(X11,Input!$G$64)=0,($D$62*(1+$B$2)^X11),0)</f>
        <v>#DIV/0!</v>
      </c>
      <c r="Y62" s="212" t="e">
        <f>IF(MOD(Y11,Input!$G$64)=0,($D$62*(1+$B$2)^Y11),0)</f>
        <v>#DIV/0!</v>
      </c>
      <c r="Z62" s="212" t="e">
        <f>IF(MOD(Z11,Input!$G$64)=0,($D$62*(1+$B$2)^Z11),0)</f>
        <v>#DIV/0!</v>
      </c>
      <c r="AA62" s="212" t="e">
        <f>IF(MOD(AA11,Input!$G$64)=0,($D$62*(1+$B$2)^AA11),0)</f>
        <v>#DIV/0!</v>
      </c>
      <c r="AB62" s="212" t="e">
        <f>IF(MOD(AB11,Input!$G$64)=0,($D$62*(1+$B$2)^AB11),0)</f>
        <v>#DIV/0!</v>
      </c>
      <c r="AC62" s="212" t="e">
        <f>IF(MOD(AC11,Input!$G$64)=0,($D$62*(1+$B$2)^AC11),0)</f>
        <v>#DIV/0!</v>
      </c>
      <c r="AD62" s="205"/>
    </row>
    <row r="63" spans="1:30" x14ac:dyDescent="0.2">
      <c r="A63" s="206" t="str">
        <f>Input!C65</f>
        <v>Control unit</v>
      </c>
      <c r="B63" s="204"/>
      <c r="C63" s="204" t="str">
        <f>IF(Input!$E$8="","",Input!$E$8)</f>
        <v>KES</v>
      </c>
      <c r="D63" s="204">
        <f>Input!E65</f>
        <v>0</v>
      </c>
      <c r="E63" s="212" t="e">
        <f>IF(MOD(E11,Input!$G$65)=0,($D$63*(1+$B$2)^E11),0)</f>
        <v>#DIV/0!</v>
      </c>
      <c r="F63" s="212" t="e">
        <f>IF(MOD(F11,Input!$G$65)=0,($D$63*(1+$B$2)^F11),0)</f>
        <v>#DIV/0!</v>
      </c>
      <c r="G63" s="212" t="e">
        <f>IF(MOD(G11,Input!$G$65)=0,($D$63*(1+$B$2)^G11),0)</f>
        <v>#DIV/0!</v>
      </c>
      <c r="H63" s="212" t="e">
        <f>IF(MOD(H11,Input!$G$65)=0,($D$63*(1+$B$2)^H11),0)</f>
        <v>#DIV/0!</v>
      </c>
      <c r="I63" s="212" t="e">
        <f>IF(MOD(I11,Input!$G$65)=0,($D$63*(1+$B$2)^I11),0)</f>
        <v>#DIV/0!</v>
      </c>
      <c r="J63" s="212" t="e">
        <f>IF(MOD(J11,Input!$G$65)=0,($D$63*(1+$B$2)^J11),0)</f>
        <v>#DIV/0!</v>
      </c>
      <c r="K63" s="212" t="e">
        <f>IF(MOD(K11,Input!$G$65)=0,($D$63*(1+$B$2)^K11),0)</f>
        <v>#DIV/0!</v>
      </c>
      <c r="L63" s="212" t="e">
        <f>IF(MOD(L11,Input!$G$65)=0,($D$63*(1+$B$2)^L11),0)</f>
        <v>#DIV/0!</v>
      </c>
      <c r="M63" s="212" t="e">
        <f>IF(MOD(M11,Input!$G$65)=0,($D$63*(1+$B$2)^M11),0)</f>
        <v>#DIV/0!</v>
      </c>
      <c r="N63" s="212" t="e">
        <f>IF(MOD(N11,Input!$G$65)=0,($D$63*(1+$B$2)^N11),0)</f>
        <v>#DIV/0!</v>
      </c>
      <c r="O63" s="212" t="e">
        <f>IF(MOD(O11,Input!$G$65)=0,($D$63*(1+$B$2)^O11),0)</f>
        <v>#DIV/0!</v>
      </c>
      <c r="P63" s="212" t="e">
        <f>IF(MOD(P11,Input!$G$65)=0,($D$63*(1+$B$2)^P11),0)</f>
        <v>#DIV/0!</v>
      </c>
      <c r="Q63" s="212" t="e">
        <f>IF(MOD(Q11,Input!$G$65)=0,($D$63*(1+$B$2)^Q11),0)</f>
        <v>#DIV/0!</v>
      </c>
      <c r="R63" s="212" t="e">
        <f>IF(MOD(R11,Input!$G$65)=0,($D$63*(1+$B$2)^R11),0)</f>
        <v>#DIV/0!</v>
      </c>
      <c r="S63" s="212" t="e">
        <f>IF(MOD(S11,Input!$G$65)=0,($D$63*(1+$B$2)^S11),0)</f>
        <v>#DIV/0!</v>
      </c>
      <c r="T63" s="212" t="e">
        <f>IF(MOD(T11,Input!$G$65)=0,($D$63*(1+$B$2)^T11),0)</f>
        <v>#DIV/0!</v>
      </c>
      <c r="U63" s="212" t="e">
        <f>IF(MOD(U11,Input!$G$65)=0,($D$63*(1+$B$2)^U11),0)</f>
        <v>#DIV/0!</v>
      </c>
      <c r="V63" s="212" t="e">
        <f>IF(MOD(V11,Input!$G$65)=0,($D$63*(1+$B$2)^V11),0)</f>
        <v>#DIV/0!</v>
      </c>
      <c r="W63" s="212" t="e">
        <f>IF(MOD(W11,Input!$G$65)=0,($D$63*(1+$B$2)^W11),0)</f>
        <v>#DIV/0!</v>
      </c>
      <c r="X63" s="212" t="e">
        <f>IF(MOD(X11,Input!$G$65)=0,($D$63*(1+$B$2)^X11),0)</f>
        <v>#DIV/0!</v>
      </c>
      <c r="Y63" s="212" t="e">
        <f>IF(MOD(Y11,Input!$G$65)=0,($D$63*(1+$B$2)^Y11),0)</f>
        <v>#DIV/0!</v>
      </c>
      <c r="Z63" s="212" t="e">
        <f>IF(MOD(Z11,Input!$G$65)=0,($D$63*(1+$B$2)^Z11),0)</f>
        <v>#DIV/0!</v>
      </c>
      <c r="AA63" s="212" t="e">
        <f>IF(MOD(AA11,Input!$G$65)=0,($D$63*(1+$B$2)^AA11),0)</f>
        <v>#DIV/0!</v>
      </c>
      <c r="AB63" s="212" t="e">
        <f>IF(MOD(AB11,Input!$G$65)=0,($D$63*(1+$B$2)^AB11),0)</f>
        <v>#DIV/0!</v>
      </c>
      <c r="AC63" s="212" t="e">
        <f>IF(MOD(AC11,Input!$G$65)=0,($D$63*(1+$B$2)^AC11),0)</f>
        <v>#DIV/0!</v>
      </c>
      <c r="AD63" s="205"/>
    </row>
    <row r="64" spans="1:30" ht="14.25" x14ac:dyDescent="0.2">
      <c r="A64" s="207" t="str">
        <f>Input!C66</f>
        <v>Pump</v>
      </c>
      <c r="B64" s="204"/>
      <c r="C64" s="204" t="str">
        <f>IF(Input!$E$8="","",Input!$E$8)</f>
        <v>KES</v>
      </c>
      <c r="D64" s="204">
        <f>Input!E66</f>
        <v>150000</v>
      </c>
      <c r="E64" s="212">
        <f>IF(MOD(E11,Input!$G$66)=0,($D$64*(1+$B$2)^E11),0)</f>
        <v>0</v>
      </c>
      <c r="F64" s="212">
        <f>IF(MOD(F11,Input!$G$66)=0,($D$64*(1+$B$2)^F11),0)</f>
        <v>0</v>
      </c>
      <c r="G64" s="212">
        <f>IF(MOD(G11,Input!$G$66)=0,($D$64*(1+$B$2)^G11),0)</f>
        <v>0</v>
      </c>
      <c r="H64" s="212">
        <f>IF(MOD(H11,Input!$G$66)=0,($D$64*(1+$B$2)^H11),0)</f>
        <v>0</v>
      </c>
      <c r="I64" s="212">
        <f>IF(MOD(I11,Input!$G$66)=0,($D$64*(1+$B$2)^I11),0)</f>
        <v>258503.0050045313</v>
      </c>
      <c r="J64" s="212">
        <f>IF(MOD(J11,Input!$G$66)=0,($D$64*(1+$B$2)^J11),0)</f>
        <v>0</v>
      </c>
      <c r="K64" s="212">
        <f>IF(MOD(K11,Input!$G$66)=0,($D$64*(1+$B$2)^K11),0)</f>
        <v>0</v>
      </c>
      <c r="L64" s="212">
        <f>IF(MOD(L11,Input!$G$66)=0,($D$64*(1+$B$2)^L11),0)</f>
        <v>0</v>
      </c>
      <c r="M64" s="212">
        <f>IF(MOD(M11,Input!$G$66)=0,($D$64*(1+$B$2)^M11),0)</f>
        <v>0</v>
      </c>
      <c r="N64" s="212">
        <f>IF(MOD(N11,Input!$G$66)=0,($D$64*(1+$B$2)^N11),0)</f>
        <v>445492.02397581819</v>
      </c>
      <c r="O64" s="212">
        <f>IF(MOD(O11,Input!$G$66)=0,($D$64*(1+$B$2)^O11),0)</f>
        <v>0</v>
      </c>
      <c r="P64" s="212">
        <f>IF(MOD(P11,Input!$G$66)=0,($D$64*(1+$B$2)^P11),0)</f>
        <v>0</v>
      </c>
      <c r="Q64" s="212">
        <f>IF(MOD(Q11,Input!$G$66)=0,($D$64*(1+$B$2)^Q11),0)</f>
        <v>0</v>
      </c>
      <c r="R64" s="212">
        <f>IF(MOD(R11,Input!$G$66)=0,($D$64*(1+$B$2)^R11),0)</f>
        <v>0</v>
      </c>
      <c r="S64" s="212">
        <f>IF(MOD(S11,Input!$G$66)=0,($D$64*(1+$B$2)^S11),0)</f>
        <v>767740.17935533135</v>
      </c>
      <c r="T64" s="212">
        <f>IF(MOD(T11,Input!$G$66)=0,($D$64*(1+$B$2)^T11),0)</f>
        <v>0</v>
      </c>
      <c r="U64" s="212">
        <f>IF(MOD(U11,Input!$G$66)=0,($D$64*(1+$B$2)^U11),0)</f>
        <v>0</v>
      </c>
      <c r="V64" s="212">
        <f>IF(MOD(V11,Input!$G$66)=0,($D$64*(1+$B$2)^V11),0)</f>
        <v>0</v>
      </c>
      <c r="W64" s="212">
        <f>IF(MOD(W11,Input!$G$66)=0,($D$64*(1+$B$2)^W11),0)</f>
        <v>0</v>
      </c>
      <c r="X64" s="212">
        <f>IF(MOD(X11,Input!$G$66)=0,($D$64*(1+$B$2)^X11),0)</f>
        <v>1323087.6228404732</v>
      </c>
      <c r="Y64" s="212">
        <f>IF(MOD(Y11,Input!$G$66)=0,($D$64*(1+$B$2)^Y11),0)</f>
        <v>0</v>
      </c>
      <c r="Z64" s="212">
        <f>IF(MOD(Z11,Input!$G$66)=0,($D$64*(1+$B$2)^Z11),0)</f>
        <v>0</v>
      </c>
      <c r="AA64" s="212">
        <f>IF(MOD(AA11,Input!$G$66)=0,($D$64*(1+$B$2)^AA11),0)</f>
        <v>0</v>
      </c>
      <c r="AB64" s="212">
        <f>IF(MOD(AB11,Input!$G$66)=0,($D$64*(1+$B$2)^AB11),0)</f>
        <v>0</v>
      </c>
      <c r="AC64" s="212">
        <f>IF(MOD(AC11,Input!$G$66)=0,($D$64*(1+$B$2)^AC11),0)</f>
        <v>2280147.5092570949</v>
      </c>
      <c r="AD64" s="205"/>
    </row>
    <row r="65" spans="1:30" ht="14.25" x14ac:dyDescent="0.2">
      <c r="A65" s="207" t="s">
        <v>8</v>
      </c>
      <c r="B65" s="204"/>
      <c r="C65" s="204" t="str">
        <f>IF(Input!$E$8="","",Input!$E$8)</f>
        <v>KES</v>
      </c>
      <c r="D65" s="204">
        <f>Input!E67</f>
        <v>50000</v>
      </c>
      <c r="E65" s="212">
        <f>IF(MOD(E11,Input!$G$67)=0,($D$65*(1+$B$2)^E11),0)</f>
        <v>0</v>
      </c>
      <c r="F65" s="212">
        <f>IF(MOD(F11,Input!$G$67)=0,($D$65*(1+$B$2)^F11),0)</f>
        <v>0</v>
      </c>
      <c r="G65" s="212">
        <f>IF(MOD(G11,Input!$G$67)=0,($D$65*(1+$B$2)^G11),0)</f>
        <v>0</v>
      </c>
      <c r="H65" s="212">
        <f>IF(MOD(H11,Input!$G$67)=0,($D$65*(1+$B$2)^H11),0)</f>
        <v>0</v>
      </c>
      <c r="I65" s="212">
        <f>IF(MOD(I11,Input!$G$67)=0,($D$65*(1+$B$2)^I11),0)</f>
        <v>86167.668334843765</v>
      </c>
      <c r="J65" s="212">
        <f>IF(MOD(J11,Input!$G$67)=0,($D$65*(1+$B$2)^J11),0)</f>
        <v>0</v>
      </c>
      <c r="K65" s="212">
        <f>IF(MOD(K11,Input!$G$67)=0,($D$65*(1+$B$2)^K11),0)</f>
        <v>0</v>
      </c>
      <c r="L65" s="212">
        <f>IF(MOD(L11,Input!$G$67)=0,($D$65*(1+$B$2)^L11),0)</f>
        <v>0</v>
      </c>
      <c r="M65" s="212">
        <f>IF(MOD(M11,Input!$G$67)=0,($D$65*(1+$B$2)^M11),0)</f>
        <v>0</v>
      </c>
      <c r="N65" s="212">
        <f>IF(MOD(N11,Input!$G$67)=0,($D$65*(1+$B$2)^N11),0)</f>
        <v>148497.34132527272</v>
      </c>
      <c r="O65" s="212">
        <f>IF(MOD(O11,Input!$G$67)=0,($D$65*(1+$B$2)^O11),0)</f>
        <v>0</v>
      </c>
      <c r="P65" s="212">
        <f>IF(MOD(P11,Input!$G$67)=0,($D$65*(1+$B$2)^P11),0)</f>
        <v>0</v>
      </c>
      <c r="Q65" s="212">
        <f>IF(MOD(Q11,Input!$G$67)=0,($D$65*(1+$B$2)^Q11),0)</f>
        <v>0</v>
      </c>
      <c r="R65" s="212">
        <f>IF(MOD(R11,Input!$G$67)=0,($D$65*(1+$B$2)^R11),0)</f>
        <v>0</v>
      </c>
      <c r="S65" s="212">
        <f>IF(MOD(S11,Input!$G$67)=0,($D$65*(1+$B$2)^S11),0)</f>
        <v>255913.39311844375</v>
      </c>
      <c r="T65" s="212">
        <f>IF(MOD(T11,Input!$G$67)=0,($D$65*(1+$B$2)^T11),0)</f>
        <v>0</v>
      </c>
      <c r="U65" s="212">
        <f>IF(MOD(U11,Input!$G$67)=0,($D$65*(1+$B$2)^U11),0)</f>
        <v>0</v>
      </c>
      <c r="V65" s="212">
        <f>IF(MOD(V11,Input!$G$67)=0,($D$65*(1+$B$2)^V11),0)</f>
        <v>0</v>
      </c>
      <c r="W65" s="212">
        <f>IF(MOD(W11,Input!$G$67)=0,($D$65*(1+$B$2)^W11),0)</f>
        <v>0</v>
      </c>
      <c r="X65" s="212">
        <f>IF(MOD(X11,Input!$G$67)=0,($D$65*(1+$B$2)^X11),0)</f>
        <v>441029.2076134911</v>
      </c>
      <c r="Y65" s="212">
        <f>IF(MOD(Y11,Input!$G$67)=0,($D$65*(1+$B$2)^Y11),0)</f>
        <v>0</v>
      </c>
      <c r="Z65" s="212">
        <f>IF(MOD(Z11,Input!$G$67)=0,($D$65*(1+$B$2)^Z11),0)</f>
        <v>0</v>
      </c>
      <c r="AA65" s="212">
        <f>IF(MOD(AA11,Input!$G$67)=0,($D$65*(1+$B$2)^AA11),0)</f>
        <v>0</v>
      </c>
      <c r="AB65" s="212">
        <f>IF(MOD(AB11,Input!$G$67)=0,($D$65*(1+$B$2)^AB11),0)</f>
        <v>0</v>
      </c>
      <c r="AC65" s="212">
        <f>IF(MOD(AC11,Input!$G$67)=0,($D$65*(1+$B$2)^AC11),0)</f>
        <v>760049.16975236498</v>
      </c>
      <c r="AD65" s="205"/>
    </row>
    <row r="66" spans="1:30" ht="14.25" x14ac:dyDescent="0.2">
      <c r="A66" s="207" t="str">
        <f>Input!C68</f>
        <v>Water storage</v>
      </c>
      <c r="B66" s="204"/>
      <c r="C66" s="204" t="str">
        <f>IF(Input!$E$8="","",Input!$E$8)</f>
        <v>KES</v>
      </c>
      <c r="D66" s="204">
        <f>Input!E68</f>
        <v>55000</v>
      </c>
      <c r="E66" s="212">
        <f>IF(MOD(E11,Input!$G$68)=0,($D$66*(1+$B$2)^E11),0)</f>
        <v>0</v>
      </c>
      <c r="F66" s="212">
        <f>IF(MOD(F11,Input!$G$68)=0,($D$66*(1+$B$2)^F11),0)</f>
        <v>0</v>
      </c>
      <c r="G66" s="212">
        <f>IF(MOD(G11,Input!$G$68)=0,($D$66*(1+$B$2)^G11),0)</f>
        <v>0</v>
      </c>
      <c r="H66" s="212">
        <f>IF(MOD(H11,Input!$G$68)=0,($D$66*(1+$B$2)^H11),0)</f>
        <v>0</v>
      </c>
      <c r="I66" s="212">
        <f>IF(MOD(I11,Input!$G$68)=0,($D$66*(1+$B$2)^I11),0)</f>
        <v>0</v>
      </c>
      <c r="J66" s="212">
        <f>IF(MOD(J11,Input!$G$68)=0,($D$66*(1+$B$2)^J11),0)</f>
        <v>0</v>
      </c>
      <c r="K66" s="212">
        <f>IF(MOD(K11,Input!$G$68)=0,($D$66*(1+$B$2)^K11),0)</f>
        <v>0</v>
      </c>
      <c r="L66" s="212">
        <f>IF(MOD(L11,Input!$G$68)=0,($D$66*(1+$B$2)^L11),0)</f>
        <v>0</v>
      </c>
      <c r="M66" s="212">
        <f>IF(MOD(M11,Input!$G$68)=0,($D$66*(1+$B$2)^M11),0)</f>
        <v>0</v>
      </c>
      <c r="N66" s="212">
        <f>IF(MOD(N11,Input!$G$68)=0,($D$66*(1+$B$2)^N11),0)</f>
        <v>0</v>
      </c>
      <c r="O66" s="212">
        <f>IF(MOD(O11,Input!$G$68)=0,($D$66*(1+$B$2)^O11),0)</f>
        <v>0</v>
      </c>
      <c r="P66" s="212">
        <f>IF(MOD(P11,Input!$G$68)=0,($D$66*(1+$B$2)^P11),0)</f>
        <v>0</v>
      </c>
      <c r="Q66" s="212">
        <f>IF(MOD(Q11,Input!$G$68)=0,($D$66*(1+$B$2)^Q11),0)</f>
        <v>0</v>
      </c>
      <c r="R66" s="212">
        <f>IF(MOD(R11,Input!$G$68)=0,($D$66*(1+$B$2)^R11),0)</f>
        <v>0</v>
      </c>
      <c r="S66" s="212">
        <f>IF(MOD(S11,Input!$G$68)=0,($D$66*(1+$B$2)^S11),0)</f>
        <v>0</v>
      </c>
      <c r="T66" s="212">
        <f>IF(MOD(T11,Input!$G$68)=0,($D$66*(1+$B$2)^T11),0)</f>
        <v>0</v>
      </c>
      <c r="U66" s="212">
        <f>IF(MOD(U11,Input!$G$68)=0,($D$66*(1+$B$2)^U11),0)</f>
        <v>0</v>
      </c>
      <c r="V66" s="212">
        <f>IF(MOD(V11,Input!$G$68)=0,($D$66*(1+$B$2)^V11),0)</f>
        <v>0</v>
      </c>
      <c r="W66" s="212">
        <f>IF(MOD(W11,Input!$G$68)=0,($D$66*(1+$B$2)^W11),0)</f>
        <v>0</v>
      </c>
      <c r="X66" s="212">
        <f>IF(MOD(X11,Input!$G$68)=0,($D$66*(1+$B$2)^X11),0)</f>
        <v>485132.12837484019</v>
      </c>
      <c r="Y66" s="212">
        <f>IF(MOD(Y11,Input!$G$68)=0,($D$66*(1+$B$2)^Y11),0)</f>
        <v>0</v>
      </c>
      <c r="Z66" s="212">
        <f>IF(MOD(Z11,Input!$G$68)=0,($D$66*(1+$B$2)^Z11),0)</f>
        <v>0</v>
      </c>
      <c r="AA66" s="212">
        <f>IF(MOD(AA11,Input!$G$68)=0,($D$66*(1+$B$2)^AA11),0)</f>
        <v>0</v>
      </c>
      <c r="AB66" s="212">
        <f>IF(MOD(AB11,Input!$G$68)=0,($D$66*(1+$B$2)^AB11),0)</f>
        <v>0</v>
      </c>
      <c r="AC66" s="212">
        <f>IF(MOD(AC11,Input!$G$68)=0,($D$66*(1+$B$2)^AC11),0)</f>
        <v>0</v>
      </c>
      <c r="AD66" s="205"/>
    </row>
    <row r="67" spans="1:30" ht="14.25" x14ac:dyDescent="0.2">
      <c r="A67" s="208" t="s">
        <v>3</v>
      </c>
      <c r="B67" s="204"/>
      <c r="C67" s="204" t="str">
        <f>IF(Input!$E$8="","",Input!$E$8)</f>
        <v>KES</v>
      </c>
      <c r="D67" s="204">
        <f>Input!E69</f>
        <v>80000</v>
      </c>
      <c r="E67" s="212">
        <f>IF(MOD(E11,Input!$G$69)=0,($D$67*(1+$B$2)^E11),0)</f>
        <v>0</v>
      </c>
      <c r="F67" s="212">
        <f>IF(MOD(F11,Input!$G$69)=0,($D$67*(1+$B$2)^F11),0)</f>
        <v>0</v>
      </c>
      <c r="G67" s="212">
        <f>IF(MOD(G11,Input!$G$69)=0,($D$67*(1+$B$2)^G11),0)</f>
        <v>0</v>
      </c>
      <c r="H67" s="212">
        <f>IF(MOD(H11,Input!$G$69)=0,($D$67*(1+$B$2)^H11),0)</f>
        <v>0</v>
      </c>
      <c r="I67" s="212">
        <f>IF(MOD(I11,Input!$G$69)=0,($D$67*(1+$B$2)^I11),0)</f>
        <v>137868.26933575002</v>
      </c>
      <c r="J67" s="212">
        <f>IF(MOD(J11,Input!$G$69)=0,($D$67*(1+$B$2)^J11),0)</f>
        <v>0</v>
      </c>
      <c r="K67" s="212">
        <f>IF(MOD(K11,Input!$G$69)=0,($D$67*(1+$B$2)^K11),0)</f>
        <v>0</v>
      </c>
      <c r="L67" s="212">
        <f>IF(MOD(L11,Input!$G$69)=0,($D$67*(1+$B$2)^L11),0)</f>
        <v>0</v>
      </c>
      <c r="M67" s="212">
        <f>IF(MOD(M11,Input!$G$69)=0,($D$67*(1+$B$2)^M11),0)</f>
        <v>0</v>
      </c>
      <c r="N67" s="212">
        <f>IF(MOD(N11,Input!$G$69)=0,($D$67*(1+$B$2)^N11),0)</f>
        <v>237595.74612043635</v>
      </c>
      <c r="O67" s="212">
        <f>IF(MOD(O11,Input!$G$69)=0,($D$67*(1+$B$2)^O11),0)</f>
        <v>0</v>
      </c>
      <c r="P67" s="212">
        <f>IF(MOD(P11,Input!$G$69)=0,($D$67*(1+$B$2)^P11),0)</f>
        <v>0</v>
      </c>
      <c r="Q67" s="212">
        <f>IF(MOD(Q11,Input!$G$69)=0,($D$67*(1+$B$2)^Q11),0)</f>
        <v>0</v>
      </c>
      <c r="R67" s="212">
        <f>IF(MOD(R11,Input!$G$69)=0,($D$67*(1+$B$2)^R11),0)</f>
        <v>0</v>
      </c>
      <c r="S67" s="212">
        <f>IF(MOD(S11,Input!$G$69)=0,($D$67*(1+$B$2)^S11),0)</f>
        <v>409461.42898951005</v>
      </c>
      <c r="T67" s="212">
        <f>IF(MOD(T11,Input!$G$69)=0,($D$67*(1+$B$2)^T11),0)</f>
        <v>0</v>
      </c>
      <c r="U67" s="212">
        <f>IF(MOD(U11,Input!$G$69)=0,($D$67*(1+$B$2)^U11),0)</f>
        <v>0</v>
      </c>
      <c r="V67" s="212">
        <f>IF(MOD(V11,Input!$G$69)=0,($D$67*(1+$B$2)^V11),0)</f>
        <v>0</v>
      </c>
      <c r="W67" s="212">
        <f>IF(MOD(W11,Input!$G$69)=0,($D$67*(1+$B$2)^W11),0)</f>
        <v>0</v>
      </c>
      <c r="X67" s="212">
        <f>IF(MOD(X11,Input!$G$69)=0,($D$67*(1+$B$2)^X11),0)</f>
        <v>705646.73218158574</v>
      </c>
      <c r="Y67" s="212">
        <f>IF(MOD(Y11,Input!$G$69)=0,($D$67*(1+$B$2)^Y11),0)</f>
        <v>0</v>
      </c>
      <c r="Z67" s="212">
        <f>IF(MOD(Z11,Input!$G$69)=0,($D$67*(1+$B$2)^Z11),0)</f>
        <v>0</v>
      </c>
      <c r="AA67" s="212">
        <f>IF(MOD(AA11,Input!$G$69)=0,($D$67*(1+$B$2)^AA11),0)</f>
        <v>0</v>
      </c>
      <c r="AB67" s="212">
        <f>IF(MOD(AB11,Input!$G$69)=0,($D$67*(1+$B$2)^AB11),0)</f>
        <v>0</v>
      </c>
      <c r="AC67" s="212">
        <f>IF(MOD(AC11,Input!$G$69)=0,($D$67*(1+$B$2)^AC11),0)</f>
        <v>1216078.671603784</v>
      </c>
      <c r="AD67" s="205"/>
    </row>
    <row r="68" spans="1:30" ht="14.25" x14ac:dyDescent="0.2">
      <c r="A68" s="208" t="s">
        <v>2</v>
      </c>
      <c r="B68" s="204"/>
      <c r="C68" s="204" t="str">
        <f>IF(Input!$E$8="","",Input!$E$8)</f>
        <v>KES</v>
      </c>
      <c r="D68" s="204">
        <f>Input!E70</f>
        <v>0</v>
      </c>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5"/>
    </row>
    <row r="69" spans="1:30" ht="14.25" x14ac:dyDescent="0.2">
      <c r="A69" s="208" t="s">
        <v>0</v>
      </c>
      <c r="B69" s="204"/>
      <c r="C69" s="204" t="str">
        <f>IF(Input!$E$8="","",Input!$E$8)</f>
        <v>KES</v>
      </c>
      <c r="D69" s="204">
        <f>Input!E71</f>
        <v>15000</v>
      </c>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5"/>
    </row>
    <row r="70" spans="1:30" ht="14.25" x14ac:dyDescent="0.2">
      <c r="A70" s="208" t="s">
        <v>63</v>
      </c>
      <c r="B70" s="204"/>
      <c r="C70" s="204" t="str">
        <f>IF(Input!$E$8="","",Input!$E$8)</f>
        <v>KES</v>
      </c>
      <c r="D70" s="204">
        <f>Input!E72</f>
        <v>0</v>
      </c>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5"/>
    </row>
    <row r="71" spans="1:30" x14ac:dyDescent="0.2">
      <c r="A71" s="209" t="s">
        <v>94</v>
      </c>
      <c r="B71" s="204"/>
      <c r="C71" s="210" t="str">
        <f>IF(Input!$E$8="","",Input!$E$8)</f>
        <v>KES</v>
      </c>
      <c r="D71" s="210">
        <v>0</v>
      </c>
      <c r="E71" s="211">
        <f>IF(E11&lt;='Loan Repayment Grid'!Loan_Years,'Loan Repayment Grid'!Scheduled_Monthly_Payment,0)</f>
        <v>0</v>
      </c>
      <c r="F71" s="211">
        <f>IF(F11&lt;='Loan Repayment Grid'!Loan_Years,'Loan Repayment Grid'!Scheduled_Monthly_Payment,0)</f>
        <v>0</v>
      </c>
      <c r="G71" s="211">
        <f>IF(G11&lt;='Loan Repayment Grid'!Loan_Years,'Loan Repayment Grid'!Scheduled_Monthly_Payment,0)</f>
        <v>0</v>
      </c>
      <c r="H71" s="211">
        <f>IF(H11&lt;='Loan Repayment Grid'!Loan_Years,'Loan Repayment Grid'!Scheduled_Monthly_Payment,0)</f>
        <v>0</v>
      </c>
      <c r="I71" s="211">
        <f>IF(I11&lt;='Loan Repayment Grid'!Loan_Years,'Loan Repayment Grid'!Scheduled_Monthly_Payment,0)</f>
        <v>0</v>
      </c>
      <c r="J71" s="211">
        <f>IF(J11&lt;='Loan Repayment Grid'!Loan_Years,'Loan Repayment Grid'!Scheduled_Monthly_Payment,0)</f>
        <v>0</v>
      </c>
      <c r="K71" s="211">
        <f>IF(K11&lt;='Loan Repayment Grid'!Loan_Years,'Loan Repayment Grid'!Scheduled_Monthly_Payment,0)</f>
        <v>0</v>
      </c>
      <c r="L71" s="211">
        <f>IF(L11&lt;='Loan Repayment Grid'!Loan_Years,'Loan Repayment Grid'!Scheduled_Monthly_Payment,0)</f>
        <v>0</v>
      </c>
      <c r="M71" s="211">
        <f>IF(M11&lt;='Loan Repayment Grid'!Loan_Years,'Loan Repayment Grid'!Scheduled_Monthly_Payment,0)</f>
        <v>0</v>
      </c>
      <c r="N71" s="211">
        <f>IF(N11&lt;='Loan Repayment Grid'!Loan_Years,'Loan Repayment Grid'!Scheduled_Monthly_Payment,0)</f>
        <v>0</v>
      </c>
      <c r="O71" s="211">
        <f>IF(O11&lt;='Loan Repayment Grid'!Loan_Years,'Loan Repayment Grid'!Scheduled_Monthly_Payment,0)</f>
        <v>0</v>
      </c>
      <c r="P71" s="211">
        <f>IF(P11&lt;='Loan Repayment Grid'!Loan_Years,'Loan Repayment Grid'!Scheduled_Monthly_Payment,0)</f>
        <v>0</v>
      </c>
      <c r="Q71" s="211">
        <f>IF(Q11&lt;='Loan Repayment Grid'!Loan_Years,'Loan Repayment Grid'!Scheduled_Monthly_Payment,0)</f>
        <v>0</v>
      </c>
      <c r="R71" s="211">
        <f>IF(R11&lt;='Loan Repayment Grid'!Loan_Years,'Loan Repayment Grid'!Scheduled_Monthly_Payment,0)</f>
        <v>0</v>
      </c>
      <c r="S71" s="211">
        <f>IF(S11&lt;='Loan Repayment Grid'!Loan_Years,'Loan Repayment Grid'!Scheduled_Monthly_Payment,0)</f>
        <v>0</v>
      </c>
      <c r="T71" s="211">
        <f>IF(T11&lt;='Loan Repayment Grid'!Loan_Years,'Loan Repayment Grid'!Scheduled_Monthly_Payment,0)</f>
        <v>0</v>
      </c>
      <c r="U71" s="211">
        <f>IF(U11&lt;='Loan Repayment Grid'!Loan_Years,'Loan Repayment Grid'!Scheduled_Monthly_Payment,0)</f>
        <v>0</v>
      </c>
      <c r="V71" s="211">
        <f>IF(V11&lt;='Loan Repayment Grid'!Loan_Years,'Loan Repayment Grid'!Scheduled_Monthly_Payment,0)</f>
        <v>0</v>
      </c>
      <c r="W71" s="211">
        <f>IF(W11&lt;='Loan Repayment Grid'!Loan_Years,'Loan Repayment Grid'!Scheduled_Monthly_Payment,0)</f>
        <v>0</v>
      </c>
      <c r="X71" s="211">
        <f>IF(X11&lt;='Loan Repayment Grid'!Loan_Years,'Loan Repayment Grid'!Scheduled_Monthly_Payment,0)</f>
        <v>0</v>
      </c>
      <c r="Y71" s="211">
        <f>IF(Y11&lt;='Loan Repayment Grid'!Loan_Years,'Loan Repayment Grid'!Scheduled_Monthly_Payment,0)</f>
        <v>0</v>
      </c>
      <c r="Z71" s="211">
        <f>IF(Z11&lt;='Loan Repayment Grid'!Loan_Years,'Loan Repayment Grid'!Scheduled_Monthly_Payment,0)</f>
        <v>0</v>
      </c>
      <c r="AA71" s="211">
        <f>IF(AA11&lt;='Loan Repayment Grid'!Loan_Years,'Loan Repayment Grid'!Scheduled_Monthly_Payment,0)</f>
        <v>0</v>
      </c>
      <c r="AB71" s="211">
        <f>IF(AB11&lt;='Loan Repayment Grid'!Loan_Years,'Loan Repayment Grid'!Scheduled_Monthly_Payment,0)</f>
        <v>0</v>
      </c>
      <c r="AC71" s="211">
        <f>IF(AC11&lt;='Loan Repayment Grid'!Loan_Years,'Loan Repayment Grid'!Scheduled_Monthly_Payment,0)</f>
        <v>0</v>
      </c>
      <c r="AD71" s="205"/>
    </row>
    <row r="72" spans="1:30" x14ac:dyDescent="0.2">
      <c r="A72" s="209" t="s">
        <v>122</v>
      </c>
      <c r="B72" s="204"/>
      <c r="C72" s="204" t="str">
        <f>IF(Input!$E$8="","",Input!$E$8)</f>
        <v>KES</v>
      </c>
      <c r="D72" s="204">
        <v>0</v>
      </c>
      <c r="E72" s="212">
        <f>Input!E77</f>
        <v>13474.5</v>
      </c>
      <c r="F72" s="212">
        <f>E72*(1+(1*$B$6))</f>
        <v>14552.460000000001</v>
      </c>
      <c r="G72" s="212">
        <f>F72*(1+(1*$B$6))</f>
        <v>15716.656800000002</v>
      </c>
      <c r="H72" s="212">
        <f t="shared" ref="H72:AC72" si="11">G72*(1+(1*$B$6))</f>
        <v>16973.989344000005</v>
      </c>
      <c r="I72" s="212">
        <f t="shared" si="11"/>
        <v>18331.908491520007</v>
      </c>
      <c r="J72" s="212">
        <f t="shared" si="11"/>
        <v>19798.461170841609</v>
      </c>
      <c r="K72" s="212">
        <f t="shared" si="11"/>
        <v>21382.338064508938</v>
      </c>
      <c r="L72" s="212">
        <f t="shared" si="11"/>
        <v>23092.925109669653</v>
      </c>
      <c r="M72" s="212">
        <f t="shared" si="11"/>
        <v>24940.359118443226</v>
      </c>
      <c r="N72" s="212">
        <f t="shared" si="11"/>
        <v>26935.587847918687</v>
      </c>
      <c r="O72" s="212">
        <f t="shared" si="11"/>
        <v>29090.434875752184</v>
      </c>
      <c r="P72" s="212">
        <f t="shared" si="11"/>
        <v>31417.669665812362</v>
      </c>
      <c r="Q72" s="212">
        <f t="shared" si="11"/>
        <v>33931.08323907735</v>
      </c>
      <c r="R72" s="212">
        <f t="shared" si="11"/>
        <v>36645.569898203539</v>
      </c>
      <c r="S72" s="212">
        <f t="shared" si="11"/>
        <v>39577.215490059825</v>
      </c>
      <c r="T72" s="212">
        <f t="shared" si="11"/>
        <v>42743.392729264611</v>
      </c>
      <c r="U72" s="212">
        <f t="shared" si="11"/>
        <v>46162.864147605782</v>
      </c>
      <c r="V72" s="212">
        <f t="shared" si="11"/>
        <v>49855.893279414246</v>
      </c>
      <c r="W72" s="212">
        <f t="shared" si="11"/>
        <v>53844.364741767386</v>
      </c>
      <c r="X72" s="212">
        <f t="shared" si="11"/>
        <v>58151.913921108782</v>
      </c>
      <c r="Y72" s="212">
        <f t="shared" si="11"/>
        <v>62804.067034797488</v>
      </c>
      <c r="Z72" s="212">
        <f t="shared" si="11"/>
        <v>67828.392397581294</v>
      </c>
      <c r="AA72" s="212">
        <f t="shared" si="11"/>
        <v>73254.663789387807</v>
      </c>
      <c r="AB72" s="212">
        <f t="shared" si="11"/>
        <v>79115.036892538832</v>
      </c>
      <c r="AC72" s="212">
        <f t="shared" si="11"/>
        <v>85444.239843941948</v>
      </c>
      <c r="AD72" s="205"/>
    </row>
    <row r="73" spans="1:30" x14ac:dyDescent="0.2">
      <c r="A73" s="206" t="s">
        <v>20</v>
      </c>
      <c r="B73" s="204"/>
      <c r="C73" s="204" t="str">
        <f>IF(Input!$E$8="","",Input!$E$8)</f>
        <v>KES</v>
      </c>
      <c r="D73" s="204">
        <v>0</v>
      </c>
      <c r="E73" s="213">
        <f>SUM(Input!E78:E79)</f>
        <v>5000</v>
      </c>
      <c r="F73" s="212">
        <f t="shared" ref="F73:AC73" si="12">E73*(1+(1*$B$2))</f>
        <v>5575</v>
      </c>
      <c r="G73" s="212">
        <f t="shared" si="12"/>
        <v>6216.125</v>
      </c>
      <c r="H73" s="212">
        <f t="shared" si="12"/>
        <v>6930.9793749999999</v>
      </c>
      <c r="I73" s="212">
        <f t="shared" si="12"/>
        <v>7728.0420031249996</v>
      </c>
      <c r="J73" s="212">
        <f t="shared" si="12"/>
        <v>8616.7668334843747</v>
      </c>
      <c r="K73" s="212">
        <f t="shared" si="12"/>
        <v>9607.6950193350785</v>
      </c>
      <c r="L73" s="212">
        <f t="shared" si="12"/>
        <v>10712.579946558613</v>
      </c>
      <c r="M73" s="212">
        <f t="shared" si="12"/>
        <v>11944.526640412854</v>
      </c>
      <c r="N73" s="212">
        <f t="shared" si="12"/>
        <v>13318.147204060333</v>
      </c>
      <c r="O73" s="212">
        <f t="shared" si="12"/>
        <v>14849.734132527272</v>
      </c>
      <c r="P73" s="212">
        <f t="shared" si="12"/>
        <v>16557.453557767909</v>
      </c>
      <c r="Q73" s="212">
        <f t="shared" si="12"/>
        <v>18461.560716911219</v>
      </c>
      <c r="R73" s="212">
        <f t="shared" si="12"/>
        <v>20584.64019935601</v>
      </c>
      <c r="S73" s="212">
        <f t="shared" si="12"/>
        <v>22951.873822281952</v>
      </c>
      <c r="T73" s="212">
        <f t="shared" si="12"/>
        <v>25591.339311844375</v>
      </c>
      <c r="U73" s="212">
        <f t="shared" si="12"/>
        <v>28534.343332706478</v>
      </c>
      <c r="V73" s="212">
        <f t="shared" si="12"/>
        <v>31815.792815967721</v>
      </c>
      <c r="W73" s="212">
        <f t="shared" si="12"/>
        <v>35474.608989804008</v>
      </c>
      <c r="X73" s="212">
        <f t="shared" si="12"/>
        <v>39554.189023631472</v>
      </c>
      <c r="Y73" s="212">
        <f t="shared" si="12"/>
        <v>44102.920761349094</v>
      </c>
      <c r="Z73" s="212">
        <f t="shared" si="12"/>
        <v>49174.756648904236</v>
      </c>
      <c r="AA73" s="212">
        <f t="shared" si="12"/>
        <v>54829.853663528222</v>
      </c>
      <c r="AB73" s="212">
        <f t="shared" si="12"/>
        <v>61135.286834833969</v>
      </c>
      <c r="AC73" s="212">
        <f t="shared" si="12"/>
        <v>68165.844820839877</v>
      </c>
      <c r="AD73" s="205"/>
    </row>
    <row r="74" spans="1:30" x14ac:dyDescent="0.2">
      <c r="A74" s="206" t="s">
        <v>185</v>
      </c>
      <c r="B74" s="204"/>
      <c r="C74" s="204"/>
      <c r="D74" s="204"/>
      <c r="E74" s="204">
        <f>$B$8*$B$9</f>
        <v>0</v>
      </c>
      <c r="F74" s="204">
        <f t="shared" ref="F74:AC74" si="13">$B$8*$B$9</f>
        <v>0</v>
      </c>
      <c r="G74" s="204">
        <f t="shared" si="13"/>
        <v>0</v>
      </c>
      <c r="H74" s="204">
        <f t="shared" si="13"/>
        <v>0</v>
      </c>
      <c r="I74" s="204">
        <f t="shared" si="13"/>
        <v>0</v>
      </c>
      <c r="J74" s="204">
        <f t="shared" si="13"/>
        <v>0</v>
      </c>
      <c r="K74" s="204">
        <f t="shared" si="13"/>
        <v>0</v>
      </c>
      <c r="L74" s="204">
        <f t="shared" si="13"/>
        <v>0</v>
      </c>
      <c r="M74" s="204">
        <f t="shared" si="13"/>
        <v>0</v>
      </c>
      <c r="N74" s="204">
        <f t="shared" si="13"/>
        <v>0</v>
      </c>
      <c r="O74" s="204">
        <f t="shared" si="13"/>
        <v>0</v>
      </c>
      <c r="P74" s="204">
        <f t="shared" si="13"/>
        <v>0</v>
      </c>
      <c r="Q74" s="204">
        <f t="shared" si="13"/>
        <v>0</v>
      </c>
      <c r="R74" s="204">
        <f t="shared" si="13"/>
        <v>0</v>
      </c>
      <c r="S74" s="204">
        <f t="shared" si="13"/>
        <v>0</v>
      </c>
      <c r="T74" s="204">
        <f t="shared" si="13"/>
        <v>0</v>
      </c>
      <c r="U74" s="204">
        <f t="shared" si="13"/>
        <v>0</v>
      </c>
      <c r="V74" s="204">
        <f t="shared" si="13"/>
        <v>0</v>
      </c>
      <c r="W74" s="204">
        <f t="shared" si="13"/>
        <v>0</v>
      </c>
      <c r="X74" s="204">
        <f t="shared" si="13"/>
        <v>0</v>
      </c>
      <c r="Y74" s="204">
        <f t="shared" si="13"/>
        <v>0</v>
      </c>
      <c r="Z74" s="204">
        <f t="shared" si="13"/>
        <v>0</v>
      </c>
      <c r="AA74" s="204">
        <f t="shared" si="13"/>
        <v>0</v>
      </c>
      <c r="AB74" s="204">
        <f t="shared" si="13"/>
        <v>0</v>
      </c>
      <c r="AC74" s="204">
        <f t="shared" si="13"/>
        <v>0</v>
      </c>
      <c r="AD74" s="205"/>
    </row>
    <row r="75" spans="1:30" x14ac:dyDescent="0.2">
      <c r="A75" s="206"/>
      <c r="B75" s="204"/>
      <c r="C75" s="204"/>
      <c r="D75" s="204"/>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05"/>
    </row>
    <row r="76" spans="1:30" x14ac:dyDescent="0.2">
      <c r="A76" s="206" t="s">
        <v>21</v>
      </c>
      <c r="B76" s="204"/>
      <c r="C76" s="204" t="str">
        <f>IF(Input!$E$8="","",Input!$E$8)</f>
        <v>KES</v>
      </c>
      <c r="D76" s="204">
        <f>SUM(D62:D70)</f>
        <v>350000</v>
      </c>
      <c r="E76" s="212">
        <f>E72+E73+E74+SUMIF(E62:E71,"&lt;1E+307")</f>
        <v>18474.5</v>
      </c>
      <c r="F76" s="212">
        <f t="shared" ref="F76:AC76" si="14">F72+F73+F74+SUMIF(F62:F71,"&lt;1E+307")</f>
        <v>20127.46</v>
      </c>
      <c r="G76" s="212">
        <f t="shared" si="14"/>
        <v>21932.781800000004</v>
      </c>
      <c r="H76" s="212">
        <f t="shared" si="14"/>
        <v>23904.968719000004</v>
      </c>
      <c r="I76" s="212">
        <f t="shared" si="14"/>
        <v>508598.89316977008</v>
      </c>
      <c r="J76" s="212">
        <f t="shared" si="14"/>
        <v>28415.228004325982</v>
      </c>
      <c r="K76" s="212">
        <f t="shared" si="14"/>
        <v>30990.033083844017</v>
      </c>
      <c r="L76" s="212">
        <f t="shared" si="14"/>
        <v>33805.50505622827</v>
      </c>
      <c r="M76" s="212">
        <f t="shared" si="14"/>
        <v>36884.885758856079</v>
      </c>
      <c r="N76" s="212">
        <f t="shared" si="14"/>
        <v>871838.84647350619</v>
      </c>
      <c r="O76" s="212">
        <f t="shared" si="14"/>
        <v>43940.169008279452</v>
      </c>
      <c r="P76" s="212">
        <f t="shared" si="14"/>
        <v>47975.123223580274</v>
      </c>
      <c r="Q76" s="212">
        <f t="shared" si="14"/>
        <v>52392.643955988569</v>
      </c>
      <c r="R76" s="212">
        <f t="shared" si="14"/>
        <v>57230.210097559553</v>
      </c>
      <c r="S76" s="212">
        <f t="shared" si="14"/>
        <v>1495644.0907756269</v>
      </c>
      <c r="T76" s="212">
        <f t="shared" si="14"/>
        <v>68334.73204110899</v>
      </c>
      <c r="U76" s="212">
        <f t="shared" si="14"/>
        <v>74697.207480312267</v>
      </c>
      <c r="V76" s="212">
        <f t="shared" si="14"/>
        <v>81671.686095381971</v>
      </c>
      <c r="W76" s="212">
        <f t="shared" si="14"/>
        <v>89318.973731571401</v>
      </c>
      <c r="X76" s="212">
        <f t="shared" si="14"/>
        <v>3052601.7939551305</v>
      </c>
      <c r="Y76" s="212">
        <f t="shared" si="14"/>
        <v>106906.98779614658</v>
      </c>
      <c r="Z76" s="212">
        <f t="shared" si="14"/>
        <v>117003.14904648553</v>
      </c>
      <c r="AA76" s="212">
        <f t="shared" si="14"/>
        <v>128084.51745291603</v>
      </c>
      <c r="AB76" s="212">
        <f t="shared" si="14"/>
        <v>140250.3237273728</v>
      </c>
      <c r="AC76" s="212">
        <f t="shared" si="14"/>
        <v>4409885.4352780255</v>
      </c>
      <c r="AD76" s="205"/>
    </row>
    <row r="77" spans="1:30" x14ac:dyDescent="0.2">
      <c r="A77" s="206"/>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5"/>
    </row>
    <row r="78" spans="1:30" x14ac:dyDescent="0.2">
      <c r="A78" s="206"/>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5"/>
    </row>
    <row r="79" spans="1:30" x14ac:dyDescent="0.2">
      <c r="A79" s="206" t="s">
        <v>22</v>
      </c>
      <c r="B79" s="204"/>
      <c r="C79" s="204" t="str">
        <f>IF(Input!$E$8="","",Input!$E$8)</f>
        <v>KES</v>
      </c>
      <c r="D79" s="212">
        <f>D14-D84</f>
        <v>-350000</v>
      </c>
      <c r="E79" s="212">
        <f t="shared" ref="E79:AC79" si="15">E14-E84</f>
        <v>-150704.5</v>
      </c>
      <c r="F79" s="212">
        <f t="shared" si="15"/>
        <v>68715.039999999979</v>
      </c>
      <c r="G79" s="212">
        <f t="shared" si="15"/>
        <v>310283.95820000005</v>
      </c>
      <c r="H79" s="212">
        <f t="shared" si="15"/>
        <v>576230.85948100011</v>
      </c>
      <c r="I79" s="212">
        <f t="shared" si="15"/>
        <v>386469.02331123024</v>
      </c>
      <c r="J79" s="212">
        <f t="shared" si="15"/>
        <v>708774.55800690455</v>
      </c>
      <c r="K79" s="212">
        <f t="shared" si="15"/>
        <v>1063577.3638930609</v>
      </c>
      <c r="L79" s="212">
        <f t="shared" si="15"/>
        <v>1454143.981703833</v>
      </c>
      <c r="M79" s="212">
        <f t="shared" si="15"/>
        <v>1884068.4310986772</v>
      </c>
      <c r="N79" s="212">
        <f t="shared" si="15"/>
        <v>1525719.8532942417</v>
      </c>
      <c r="O79" s="212">
        <f t="shared" si="15"/>
        <v>2046618.9798219397</v>
      </c>
      <c r="P79" s="212">
        <f t="shared" si="15"/>
        <v>2619967.0816879347</v>
      </c>
      <c r="Q79" s="212">
        <f t="shared" si="15"/>
        <v>3251029.9853304792</v>
      </c>
      <c r="R79" s="212">
        <f t="shared" si="15"/>
        <v>3945600.8775913068</v>
      </c>
      <c r="S79" s="212">
        <f t="shared" si="15"/>
        <v>3276937.9994099047</v>
      </c>
      <c r="T79" s="212">
        <f t="shared" si="15"/>
        <v>4118282.6012224439</v>
      </c>
      <c r="U79" s="212">
        <f t="shared" si="15"/>
        <v>5044232.6609811429</v>
      </c>
      <c r="V79" s="212">
        <f t="shared" si="15"/>
        <v>6063272.9688486755</v>
      </c>
      <c r="W79" s="212">
        <f t="shared" si="15"/>
        <v>7184737.1884763092</v>
      </c>
      <c r="X79" s="212">
        <f t="shared" si="15"/>
        <v>5463996.9072163049</v>
      </c>
      <c r="Y79" s="212">
        <f t="shared" si="15"/>
        <v>6822137.583384797</v>
      </c>
      <c r="Z79" s="212">
        <f t="shared" si="15"/>
        <v>8316686.8646994149</v>
      </c>
      <c r="AA79" s="212">
        <f t="shared" si="15"/>
        <v>9961310.0206437111</v>
      </c>
      <c r="AB79" s="212">
        <f t="shared" si="15"/>
        <v>11771038.137653273</v>
      </c>
      <c r="AC79" s="212">
        <f t="shared" si="15"/>
        <v>9506128.9871858768</v>
      </c>
      <c r="AD79" s="205"/>
    </row>
    <row r="80" spans="1:30" x14ac:dyDescent="0.2">
      <c r="A80" s="206"/>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5"/>
    </row>
    <row r="81" spans="1:30" x14ac:dyDescent="0.2">
      <c r="A81" s="206"/>
      <c r="B81" s="204"/>
      <c r="C81" s="204"/>
      <c r="D81" s="204" t="str">
        <f>IF(D79&gt;0,"Yes","No")</f>
        <v>No</v>
      </c>
      <c r="E81" s="204" t="str">
        <f t="shared" ref="E81:AC81" si="16">IF(E79&gt;0,"Yes","No")</f>
        <v>No</v>
      </c>
      <c r="F81" s="204" t="str">
        <f t="shared" si="16"/>
        <v>Yes</v>
      </c>
      <c r="G81" s="204" t="str">
        <f t="shared" si="16"/>
        <v>Yes</v>
      </c>
      <c r="H81" s="204" t="str">
        <f t="shared" si="16"/>
        <v>Yes</v>
      </c>
      <c r="I81" s="204" t="str">
        <f t="shared" si="16"/>
        <v>Yes</v>
      </c>
      <c r="J81" s="204" t="str">
        <f t="shared" si="16"/>
        <v>Yes</v>
      </c>
      <c r="K81" s="204" t="str">
        <f t="shared" si="16"/>
        <v>Yes</v>
      </c>
      <c r="L81" s="204" t="str">
        <f t="shared" si="16"/>
        <v>Yes</v>
      </c>
      <c r="M81" s="204" t="str">
        <f t="shared" si="16"/>
        <v>Yes</v>
      </c>
      <c r="N81" s="204" t="str">
        <f t="shared" si="16"/>
        <v>Yes</v>
      </c>
      <c r="O81" s="204" t="str">
        <f t="shared" si="16"/>
        <v>Yes</v>
      </c>
      <c r="P81" s="204" t="str">
        <f t="shared" si="16"/>
        <v>Yes</v>
      </c>
      <c r="Q81" s="204" t="str">
        <f t="shared" si="16"/>
        <v>Yes</v>
      </c>
      <c r="R81" s="204" t="str">
        <f t="shared" si="16"/>
        <v>Yes</v>
      </c>
      <c r="S81" s="204" t="str">
        <f t="shared" si="16"/>
        <v>Yes</v>
      </c>
      <c r="T81" s="204" t="str">
        <f t="shared" si="16"/>
        <v>Yes</v>
      </c>
      <c r="U81" s="204" t="str">
        <f t="shared" si="16"/>
        <v>Yes</v>
      </c>
      <c r="V81" s="204" t="str">
        <f t="shared" si="16"/>
        <v>Yes</v>
      </c>
      <c r="W81" s="204" t="str">
        <f t="shared" si="16"/>
        <v>Yes</v>
      </c>
      <c r="X81" s="204" t="str">
        <f t="shared" si="16"/>
        <v>Yes</v>
      </c>
      <c r="Y81" s="204" t="str">
        <f t="shared" si="16"/>
        <v>Yes</v>
      </c>
      <c r="Z81" s="204" t="str">
        <f t="shared" si="16"/>
        <v>Yes</v>
      </c>
      <c r="AA81" s="204" t="str">
        <f t="shared" si="16"/>
        <v>Yes</v>
      </c>
      <c r="AB81" s="204" t="str">
        <f t="shared" si="16"/>
        <v>Yes</v>
      </c>
      <c r="AC81" s="204" t="str">
        <f t="shared" si="16"/>
        <v>Yes</v>
      </c>
      <c r="AD81" s="205"/>
    </row>
    <row r="82" spans="1:30" x14ac:dyDescent="0.2">
      <c r="A82" s="214" t="s">
        <v>118</v>
      </c>
      <c r="B82" s="204">
        <f>IF(AC79&lt;0,"no payback",COUNTIF(D79:AC79,"&lt;0"))</f>
        <v>2</v>
      </c>
      <c r="C82" s="204" t="s">
        <v>117</v>
      </c>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05"/>
    </row>
    <row r="83" spans="1:30" x14ac:dyDescent="0.2">
      <c r="A83" s="214"/>
      <c r="B83" s="212"/>
      <c r="C83" s="204"/>
      <c r="D83" s="204"/>
      <c r="E83" s="212"/>
      <c r="F83" s="212"/>
      <c r="G83" s="212"/>
      <c r="H83" s="212"/>
      <c r="I83" s="212"/>
      <c r="J83" s="212"/>
      <c r="K83" s="212"/>
      <c r="L83" s="212"/>
      <c r="M83" s="212"/>
      <c r="N83" s="212"/>
      <c r="O83" s="212"/>
      <c r="P83" s="212"/>
      <c r="Q83" s="212"/>
      <c r="R83" s="212"/>
      <c r="S83" s="212"/>
      <c r="T83" s="212"/>
      <c r="U83" s="212"/>
      <c r="V83" s="212"/>
      <c r="W83" s="212"/>
      <c r="X83" s="212"/>
      <c r="Y83" s="212"/>
      <c r="Z83" s="212"/>
      <c r="AA83" s="212"/>
      <c r="AB83" s="212"/>
      <c r="AC83" s="212"/>
      <c r="AD83" s="205"/>
    </row>
    <row r="84" spans="1:30" x14ac:dyDescent="0.2">
      <c r="A84" s="214" t="s">
        <v>29</v>
      </c>
      <c r="B84" s="212">
        <f>IF($A$85=TRUE,AC85,NA())</f>
        <v>11910910.145731017</v>
      </c>
      <c r="C84" s="204" t="str">
        <f>IF(Input!$E$8="","",Input!$E$8)</f>
        <v>KES</v>
      </c>
      <c r="D84" s="212">
        <f t="shared" ref="D84:AC84" si="17">IF($A$85=TRUE,D85,NA())</f>
        <v>350000</v>
      </c>
      <c r="E84" s="212">
        <f t="shared" si="17"/>
        <v>368474.5</v>
      </c>
      <c r="F84" s="212">
        <f t="shared" si="17"/>
        <v>388601.96</v>
      </c>
      <c r="G84" s="212">
        <f t="shared" si="17"/>
        <v>410534.74180000002</v>
      </c>
      <c r="H84" s="212">
        <f t="shared" si="17"/>
        <v>434439.71051900001</v>
      </c>
      <c r="I84" s="212">
        <f t="shared" si="17"/>
        <v>943038.60368877009</v>
      </c>
      <c r="J84" s="212">
        <f t="shared" si="17"/>
        <v>971453.83169309609</v>
      </c>
      <c r="K84" s="212">
        <f t="shared" si="17"/>
        <v>1002443.8647769401</v>
      </c>
      <c r="L84" s="212">
        <f t="shared" si="17"/>
        <v>1036249.3698331683</v>
      </c>
      <c r="M84" s="212">
        <f t="shared" si="17"/>
        <v>1073134.2555920244</v>
      </c>
      <c r="N84" s="212">
        <f t="shared" si="17"/>
        <v>1944973.1020655306</v>
      </c>
      <c r="O84" s="212">
        <f t="shared" si="17"/>
        <v>1988913.2710738101</v>
      </c>
      <c r="P84" s="212">
        <f t="shared" si="17"/>
        <v>2036888.3942973902</v>
      </c>
      <c r="Q84" s="212">
        <f t="shared" si="17"/>
        <v>2089281.0382533788</v>
      </c>
      <c r="R84" s="212">
        <f t="shared" si="17"/>
        <v>2146511.2483509383</v>
      </c>
      <c r="S84" s="212">
        <f t="shared" si="17"/>
        <v>3642155.3391265655</v>
      </c>
      <c r="T84" s="212">
        <f t="shared" si="17"/>
        <v>3710490.0711676744</v>
      </c>
      <c r="U84" s="212">
        <f t="shared" si="17"/>
        <v>3785187.2786479867</v>
      </c>
      <c r="V84" s="212">
        <f t="shared" si="17"/>
        <v>3866858.9647433688</v>
      </c>
      <c r="W84" s="212">
        <f t="shared" si="17"/>
        <v>3956177.9384749401</v>
      </c>
      <c r="X84" s="212">
        <f t="shared" si="17"/>
        <v>7008779.7324300706</v>
      </c>
      <c r="Y84" s="212">
        <f t="shared" si="17"/>
        <v>7115686.7202262171</v>
      </c>
      <c r="Z84" s="212">
        <f t="shared" si="17"/>
        <v>7232689.8692727024</v>
      </c>
      <c r="AA84" s="212">
        <f t="shared" si="17"/>
        <v>7360774.3867256185</v>
      </c>
      <c r="AB84" s="212">
        <f t="shared" si="17"/>
        <v>7501024.7104529915</v>
      </c>
      <c r="AC84" s="212">
        <f t="shared" si="17"/>
        <v>11910910.145731017</v>
      </c>
      <c r="AD84" s="205"/>
    </row>
    <row r="85" spans="1:30" x14ac:dyDescent="0.2">
      <c r="A85" s="206" t="b">
        <v>1</v>
      </c>
      <c r="B85" s="204"/>
      <c r="C85" s="204"/>
      <c r="D85" s="212">
        <f>D76</f>
        <v>350000</v>
      </c>
      <c r="E85" s="212">
        <f>SUM($D$76:E76)</f>
        <v>368474.5</v>
      </c>
      <c r="F85" s="212">
        <f>SUM($D$76:F76)</f>
        <v>388601.96</v>
      </c>
      <c r="G85" s="212">
        <f>SUM($D$76:G76)</f>
        <v>410534.74180000002</v>
      </c>
      <c r="H85" s="212">
        <f>SUM($D$76:H76)</f>
        <v>434439.71051900001</v>
      </c>
      <c r="I85" s="212">
        <f>SUM($D$76:I76)</f>
        <v>943038.60368877009</v>
      </c>
      <c r="J85" s="212">
        <f>SUM($D$76:J76)</f>
        <v>971453.83169309609</v>
      </c>
      <c r="K85" s="212">
        <f>SUM($D$76:K76)</f>
        <v>1002443.8647769401</v>
      </c>
      <c r="L85" s="212">
        <f>SUM($D$76:L76)</f>
        <v>1036249.3698331683</v>
      </c>
      <c r="M85" s="212">
        <f>SUM($D$76:M76)</f>
        <v>1073134.2555920244</v>
      </c>
      <c r="N85" s="212">
        <f>SUM($D$76:N76)</f>
        <v>1944973.1020655306</v>
      </c>
      <c r="O85" s="212">
        <f>SUM($D$76:O76)</f>
        <v>1988913.2710738101</v>
      </c>
      <c r="P85" s="212">
        <f>SUM($D$76:P76)</f>
        <v>2036888.3942973902</v>
      </c>
      <c r="Q85" s="212">
        <f>SUM($D$76:Q76)</f>
        <v>2089281.0382533788</v>
      </c>
      <c r="R85" s="212">
        <f>SUM($D$76:R76)</f>
        <v>2146511.2483509383</v>
      </c>
      <c r="S85" s="212">
        <f>SUM($D$76:S76)</f>
        <v>3642155.3391265655</v>
      </c>
      <c r="T85" s="212">
        <f>SUM($D$76:T76)</f>
        <v>3710490.0711676744</v>
      </c>
      <c r="U85" s="212">
        <f>SUM($D$76:U76)</f>
        <v>3785187.2786479867</v>
      </c>
      <c r="V85" s="212">
        <f>SUM($D$76:V76)</f>
        <v>3866858.9647433688</v>
      </c>
      <c r="W85" s="212">
        <f>SUM($D$76:W76)</f>
        <v>3956177.9384749401</v>
      </c>
      <c r="X85" s="212">
        <f>SUM($D$76:X76)</f>
        <v>7008779.7324300706</v>
      </c>
      <c r="Y85" s="212">
        <f>SUM($D$76:Y76)</f>
        <v>7115686.7202262171</v>
      </c>
      <c r="Z85" s="212">
        <f>SUM($D$76:Z76)</f>
        <v>7232689.8692727024</v>
      </c>
      <c r="AA85" s="212">
        <f>SUM($D$76:AA76)</f>
        <v>7360774.3867256185</v>
      </c>
      <c r="AB85" s="212">
        <f>SUM($D$76:AB76)</f>
        <v>7501024.7104529915</v>
      </c>
      <c r="AC85" s="212">
        <f>SUM($D$76:AC76)</f>
        <v>11910910.145731017</v>
      </c>
      <c r="AD85" s="205"/>
    </row>
    <row r="86" spans="1:30" s="265" customFormat="1" x14ac:dyDescent="0.2">
      <c r="A86" s="206" t="s">
        <v>171</v>
      </c>
      <c r="B86" s="204"/>
      <c r="C86" s="204" t="str">
        <f>IF(Input!$E$8="","",Input!$E$8&amp;" /m3")</f>
        <v>KES /m3</v>
      </c>
      <c r="D86" s="216">
        <f>D76/($B$9*365)</f>
        <v>36.880927291886195</v>
      </c>
      <c r="E86" s="216">
        <f t="shared" ref="E86:AC86" si="18">E76/($B$9*365)</f>
        <v>1.9467334035827186</v>
      </c>
      <c r="F86" s="216">
        <f t="shared" si="18"/>
        <v>2.1209125395152792</v>
      </c>
      <c r="G86" s="216">
        <f t="shared" si="18"/>
        <v>2.3111466596417287</v>
      </c>
      <c r="H86" s="216">
        <f t="shared" si="18"/>
        <v>2.5189640378292943</v>
      </c>
      <c r="I86" s="216">
        <f t="shared" si="18"/>
        <v>53.593139427794526</v>
      </c>
      <c r="J86" s="216">
        <f t="shared" si="18"/>
        <v>2.9942284514569</v>
      </c>
      <c r="K86" s="216">
        <f t="shared" si="18"/>
        <v>3.2655461626811397</v>
      </c>
      <c r="L86" s="216">
        <f t="shared" si="18"/>
        <v>3.5622239258407027</v>
      </c>
      <c r="M86" s="216">
        <f t="shared" si="18"/>
        <v>3.8867108281197131</v>
      </c>
      <c r="N86" s="216">
        <f t="shared" si="18"/>
        <v>91.869214591518045</v>
      </c>
      <c r="O86" s="216">
        <f t="shared" si="18"/>
        <v>4.6301547953929871</v>
      </c>
      <c r="P86" s="216">
        <f t="shared" si="18"/>
        <v>5.0553343755089859</v>
      </c>
      <c r="Q86" s="216">
        <f t="shared" si="18"/>
        <v>5.5208265496299864</v>
      </c>
      <c r="R86" s="216">
        <f t="shared" si="18"/>
        <v>6.0305806214499</v>
      </c>
      <c r="S86" s="216">
        <f t="shared" si="18"/>
        <v>157.60211704695752</v>
      </c>
      <c r="T86" s="216">
        <f t="shared" si="18"/>
        <v>7.2007093826247619</v>
      </c>
      <c r="U86" s="216">
        <f t="shared" si="18"/>
        <v>7.8711493656809557</v>
      </c>
      <c r="V86" s="216">
        <f t="shared" si="18"/>
        <v>8.6060786191129584</v>
      </c>
      <c r="W86" s="216">
        <f t="shared" si="18"/>
        <v>9.4119045027999366</v>
      </c>
      <c r="X86" s="216">
        <f t="shared" si="18"/>
        <v>321.66509946840154</v>
      </c>
      <c r="Y86" s="216">
        <f t="shared" si="18"/>
        <v>11.265225268297849</v>
      </c>
      <c r="Z86" s="216">
        <f t="shared" si="18"/>
        <v>12.32909895115759</v>
      </c>
      <c r="AA86" s="216">
        <f t="shared" si="18"/>
        <v>13.496787929706642</v>
      </c>
      <c r="AB86" s="216">
        <f t="shared" si="18"/>
        <v>14.778748548722108</v>
      </c>
      <c r="AC86" s="216">
        <f t="shared" si="18"/>
        <v>464.68761172581935</v>
      </c>
      <c r="AD86" s="205"/>
    </row>
    <row r="87" spans="1:30" x14ac:dyDescent="0.2">
      <c r="A87" s="206" t="s">
        <v>176</v>
      </c>
      <c r="B87" s="216">
        <f>AVERAGE(D86:AC86)</f>
        <v>48.273122095043433</v>
      </c>
      <c r="C87" s="204" t="str">
        <f>IF(Input!$E$8="","",Input!$E$8&amp;" /m3")</f>
        <v>KES /m3</v>
      </c>
      <c r="D87" s="212"/>
      <c r="E87" s="212"/>
      <c r="F87" s="212"/>
      <c r="G87" s="212"/>
      <c r="H87" s="212"/>
      <c r="I87" s="216">
        <f>AVERAGE(D86:I86)</f>
        <v>16.561970560041626</v>
      </c>
      <c r="J87" s="212"/>
      <c r="K87" s="212"/>
      <c r="L87" s="212"/>
      <c r="M87" s="212"/>
      <c r="N87" s="216">
        <f>AVERAGE(D86:N86)</f>
        <v>18.631795210896932</v>
      </c>
      <c r="O87" s="212"/>
      <c r="P87" s="212"/>
      <c r="Q87" s="212"/>
      <c r="R87" s="212"/>
      <c r="S87" s="212"/>
      <c r="T87" s="212"/>
      <c r="U87" s="212"/>
      <c r="V87" s="212"/>
      <c r="W87" s="212"/>
      <c r="X87" s="212"/>
      <c r="Y87" s="212"/>
      <c r="Z87" s="212"/>
      <c r="AA87" s="212"/>
      <c r="AB87" s="212"/>
      <c r="AC87" s="212"/>
      <c r="AD87" s="205"/>
    </row>
    <row r="88" spans="1:30" ht="13.5" thickBot="1" x14ac:dyDescent="0.25">
      <c r="A88" s="206"/>
      <c r="B88" s="204"/>
      <c r="C88" s="204"/>
      <c r="D88" s="204"/>
      <c r="E88" s="204"/>
      <c r="F88" s="204"/>
      <c r="G88" s="204"/>
      <c r="H88" s="204"/>
      <c r="I88" s="204"/>
      <c r="J88" s="204"/>
      <c r="K88" s="204"/>
      <c r="L88" s="204"/>
      <c r="M88" s="204"/>
      <c r="N88" s="204"/>
      <c r="O88" s="204"/>
      <c r="P88" s="204"/>
      <c r="Q88" s="204"/>
      <c r="R88" s="204"/>
      <c r="S88" s="204"/>
      <c r="T88" s="204"/>
      <c r="U88" s="204"/>
      <c r="V88" s="204"/>
      <c r="W88" s="204"/>
      <c r="X88" s="204"/>
      <c r="Y88" s="204"/>
      <c r="Z88" s="204"/>
      <c r="AA88" s="204"/>
      <c r="AB88" s="204"/>
      <c r="AC88" s="204"/>
      <c r="AD88" s="205"/>
    </row>
    <row r="89" spans="1:30" ht="15" x14ac:dyDescent="0.25">
      <c r="A89" s="217" t="s">
        <v>23</v>
      </c>
      <c r="B89" s="500">
        <f>Input!E12</f>
        <v>0.16</v>
      </c>
      <c r="C89" s="287">
        <f>NPV(B89,E79:AC79)+D79</f>
        <v>7815722.2998419944</v>
      </c>
      <c r="D89" s="204"/>
      <c r="E89" s="204"/>
      <c r="F89" s="204"/>
      <c r="G89" s="204"/>
      <c r="H89" s="204"/>
      <c r="I89" s="204"/>
      <c r="J89" s="204"/>
      <c r="K89" s="204"/>
      <c r="L89" s="204"/>
      <c r="M89" s="204"/>
      <c r="N89" s="204"/>
      <c r="O89" s="204"/>
      <c r="P89" s="204"/>
      <c r="Q89" s="204"/>
      <c r="R89" s="204"/>
      <c r="S89" s="204"/>
      <c r="T89" s="204"/>
      <c r="U89" s="204"/>
      <c r="V89" s="204"/>
      <c r="W89" s="204"/>
      <c r="X89" s="204"/>
      <c r="Y89" s="204"/>
      <c r="Z89" s="204"/>
      <c r="AA89" s="204"/>
      <c r="AB89" s="204"/>
      <c r="AC89" s="204"/>
      <c r="AD89" s="205"/>
    </row>
    <row r="90" spans="1:30" ht="15.75" thickBot="1" x14ac:dyDescent="0.3">
      <c r="A90" s="217" t="s">
        <v>24</v>
      </c>
      <c r="B90" s="501"/>
      <c r="C90" s="198">
        <f>IRR(D79:AC79)</f>
        <v>0.59027149588255101</v>
      </c>
      <c r="D90" s="204"/>
      <c r="E90" s="204"/>
      <c r="F90" s="204"/>
      <c r="G90" s="204"/>
      <c r="H90" s="204"/>
      <c r="I90" s="204"/>
      <c r="J90" s="204"/>
      <c r="K90" s="204"/>
      <c r="L90" s="204"/>
      <c r="M90" s="204"/>
      <c r="N90" s="204"/>
      <c r="O90" s="204"/>
      <c r="P90" s="204"/>
      <c r="Q90" s="204"/>
      <c r="R90" s="204"/>
      <c r="S90" s="204"/>
      <c r="T90" s="204"/>
      <c r="U90" s="204"/>
      <c r="V90" s="204"/>
      <c r="W90" s="204"/>
      <c r="X90" s="204"/>
      <c r="Y90" s="204"/>
      <c r="Z90" s="204"/>
      <c r="AA90" s="204"/>
      <c r="AB90" s="204"/>
      <c r="AC90" s="204"/>
      <c r="AD90" s="205"/>
    </row>
    <row r="91" spans="1:30" x14ac:dyDescent="0.2">
      <c r="A91" s="218"/>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c r="AA91" s="210"/>
      <c r="AB91" s="210"/>
      <c r="AC91" s="210"/>
      <c r="AD91" s="219"/>
    </row>
    <row r="93" spans="1:30" x14ac:dyDescent="0.2">
      <c r="B93" s="36"/>
    </row>
    <row r="96" spans="1:30" hidden="1" outlineLevel="1" x14ac:dyDescent="0.2"/>
    <row r="97" spans="2:17" ht="15" hidden="1" outlineLevel="1" x14ac:dyDescent="0.25">
      <c r="N97" s="503" t="s">
        <v>25</v>
      </c>
      <c r="O97" s="504"/>
      <c r="P97" s="494" t="s">
        <v>14</v>
      </c>
      <c r="Q97" s="495"/>
    </row>
    <row r="98" spans="2:17" hidden="1" outlineLevel="1" x14ac:dyDescent="0.2">
      <c r="L98" s="220" t="s">
        <v>26</v>
      </c>
      <c r="N98" s="496">
        <f>C51</f>
        <v>4393862.8951089829</v>
      </c>
      <c r="O98" s="497"/>
      <c r="P98" s="498">
        <f>C89</f>
        <v>7815722.2998419944</v>
      </c>
      <c r="Q98" s="499"/>
    </row>
    <row r="99" spans="2:17" hidden="1" outlineLevel="1" x14ac:dyDescent="0.2">
      <c r="L99" s="221"/>
      <c r="N99" s="222"/>
      <c r="O99" s="223"/>
      <c r="P99" s="222"/>
      <c r="Q99" s="223"/>
    </row>
    <row r="100" spans="2:17" hidden="1" outlineLevel="1" x14ac:dyDescent="0.2">
      <c r="L100" s="224" t="s">
        <v>9</v>
      </c>
      <c r="N100" s="225" t="s">
        <v>27</v>
      </c>
      <c r="O100" s="226" t="s">
        <v>23</v>
      </c>
      <c r="P100" s="225" t="s">
        <v>27</v>
      </c>
      <c r="Q100" s="226" t="s">
        <v>23</v>
      </c>
    </row>
    <row r="101" spans="2:17" hidden="1" outlineLevel="1" x14ac:dyDescent="0.2">
      <c r="L101" s="227">
        <v>0</v>
      </c>
      <c r="N101" s="222"/>
      <c r="O101" s="223"/>
      <c r="P101" s="222"/>
      <c r="Q101" s="223"/>
    </row>
    <row r="102" spans="2:17" hidden="1" outlineLevel="1" x14ac:dyDescent="0.2">
      <c r="B102" s="228"/>
      <c r="F102" s="229"/>
      <c r="J102" s="230"/>
      <c r="L102" s="227">
        <v>1</v>
      </c>
      <c r="N102" s="222">
        <f>PMT($B$51,$L$121,$C$51,0,0)*-1</f>
        <v>741099.81521696015</v>
      </c>
      <c r="O102" s="231">
        <f>N102*(1.05^-L102)</f>
        <v>705809.34782567632</v>
      </c>
      <c r="P102" s="222">
        <f>PMT($B$89,$L$121,$C$89,0,0)*-1</f>
        <v>1318254.6862460326</v>
      </c>
      <c r="Q102" s="231">
        <f>P102*(1.06^-L102)</f>
        <v>1243636.4964585211</v>
      </c>
    </row>
    <row r="103" spans="2:17" hidden="1" outlineLevel="1" x14ac:dyDescent="0.2">
      <c r="F103" s="229"/>
      <c r="J103" s="230"/>
      <c r="L103" s="227">
        <f t="shared" ref="L103:L121" si="19">L102+1</f>
        <v>2</v>
      </c>
      <c r="N103" s="222">
        <f t="shared" ref="N103:N121" si="20">PMT($B$51,$L$121,$C$51,0,0)*-1</f>
        <v>741099.81521696015</v>
      </c>
      <c r="O103" s="231">
        <f t="shared" ref="O103:O121" si="21">N103*(1.06^-L103)</f>
        <v>659576.19723830547</v>
      </c>
      <c r="P103" s="222">
        <f t="shared" ref="P103:P121" si="22">PMT($B$89,$L$121,$C$89,0,0)*-1</f>
        <v>1318254.6862460326</v>
      </c>
      <c r="Q103" s="231">
        <f t="shared" ref="Q103:Q121" si="23">P103*(1.06^-L103)</f>
        <v>1173241.9777910577</v>
      </c>
    </row>
    <row r="104" spans="2:17" hidden="1" outlineLevel="1" x14ac:dyDescent="0.2">
      <c r="B104" s="232"/>
      <c r="F104" s="229"/>
      <c r="J104" s="230"/>
      <c r="L104" s="227">
        <f t="shared" si="19"/>
        <v>3</v>
      </c>
      <c r="N104" s="222">
        <f t="shared" si="20"/>
        <v>741099.81521696015</v>
      </c>
      <c r="O104" s="231">
        <f t="shared" si="21"/>
        <v>622241.69550783525</v>
      </c>
      <c r="P104" s="222">
        <f t="shared" si="22"/>
        <v>1318254.6862460326</v>
      </c>
      <c r="Q104" s="231">
        <f t="shared" si="23"/>
        <v>1106832.0545198657</v>
      </c>
    </row>
    <row r="105" spans="2:17" hidden="1" outlineLevel="1" x14ac:dyDescent="0.2">
      <c r="F105" s="229"/>
      <c r="J105" s="230"/>
      <c r="L105" s="227">
        <f t="shared" si="19"/>
        <v>4</v>
      </c>
      <c r="N105" s="222">
        <f t="shared" si="20"/>
        <v>741099.81521696015</v>
      </c>
      <c r="O105" s="231">
        <f t="shared" si="21"/>
        <v>587020.46746022196</v>
      </c>
      <c r="P105" s="222">
        <f t="shared" si="22"/>
        <v>1318254.6862460326</v>
      </c>
      <c r="Q105" s="231">
        <f t="shared" si="23"/>
        <v>1044181.1835093072</v>
      </c>
    </row>
    <row r="106" spans="2:17" hidden="1" outlineLevel="1" x14ac:dyDescent="0.2">
      <c r="F106" s="229"/>
      <c r="J106" s="230"/>
      <c r="L106" s="227">
        <f t="shared" si="19"/>
        <v>5</v>
      </c>
      <c r="N106" s="222">
        <f t="shared" si="20"/>
        <v>741099.81521696015</v>
      </c>
      <c r="O106" s="231">
        <f t="shared" si="21"/>
        <v>553792.89383039798</v>
      </c>
      <c r="P106" s="222">
        <f t="shared" si="22"/>
        <v>1318254.6862460326</v>
      </c>
      <c r="Q106" s="231">
        <f t="shared" si="23"/>
        <v>985076.58821632736</v>
      </c>
    </row>
    <row r="107" spans="2:17" hidden="1" outlineLevel="1" x14ac:dyDescent="0.2">
      <c r="F107" s="229"/>
      <c r="J107" s="230"/>
      <c r="L107" s="227">
        <f t="shared" si="19"/>
        <v>6</v>
      </c>
      <c r="N107" s="222">
        <f t="shared" si="20"/>
        <v>741099.81521696015</v>
      </c>
      <c r="O107" s="231">
        <f t="shared" si="21"/>
        <v>522446.12625509244</v>
      </c>
      <c r="P107" s="222">
        <f t="shared" si="22"/>
        <v>1318254.6862460326</v>
      </c>
      <c r="Q107" s="231">
        <f t="shared" si="23"/>
        <v>929317.53605313902</v>
      </c>
    </row>
    <row r="108" spans="2:17" hidden="1" outlineLevel="1" x14ac:dyDescent="0.2">
      <c r="F108" s="229"/>
      <c r="J108" s="230"/>
      <c r="L108" s="227">
        <f t="shared" si="19"/>
        <v>7</v>
      </c>
      <c r="N108" s="222">
        <f t="shared" si="20"/>
        <v>741099.81521696015</v>
      </c>
      <c r="O108" s="231">
        <f t="shared" si="21"/>
        <v>492873.70401423809</v>
      </c>
      <c r="P108" s="222">
        <f t="shared" si="22"/>
        <v>1318254.6862460326</v>
      </c>
      <c r="Q108" s="231">
        <f t="shared" si="23"/>
        <v>876714.65665390459</v>
      </c>
    </row>
    <row r="109" spans="2:17" hidden="1" outlineLevel="1" x14ac:dyDescent="0.2">
      <c r="F109" s="229"/>
      <c r="J109" s="230"/>
      <c r="L109" s="227">
        <f t="shared" si="19"/>
        <v>8</v>
      </c>
      <c r="N109" s="222">
        <f t="shared" si="20"/>
        <v>741099.81521696015</v>
      </c>
      <c r="O109" s="231">
        <f t="shared" si="21"/>
        <v>464975.19246626238</v>
      </c>
      <c r="P109" s="222">
        <f t="shared" si="22"/>
        <v>1318254.6862460326</v>
      </c>
      <c r="Q109" s="231">
        <f t="shared" si="23"/>
        <v>827089.29873009876</v>
      </c>
    </row>
    <row r="110" spans="2:17" hidden="1" outlineLevel="1" x14ac:dyDescent="0.2">
      <c r="F110" s="229"/>
      <c r="J110" s="230"/>
      <c r="L110" s="227">
        <f t="shared" si="19"/>
        <v>9</v>
      </c>
      <c r="N110" s="222">
        <f t="shared" si="20"/>
        <v>741099.81521696015</v>
      </c>
      <c r="O110" s="231">
        <f t="shared" si="21"/>
        <v>438655.8419493041</v>
      </c>
      <c r="P110" s="222">
        <f t="shared" si="22"/>
        <v>1318254.6862460326</v>
      </c>
      <c r="Q110" s="231">
        <f t="shared" si="23"/>
        <v>780272.92333028186</v>
      </c>
    </row>
    <row r="111" spans="2:17" hidden="1" outlineLevel="1" x14ac:dyDescent="0.2">
      <c r="F111" s="229"/>
      <c r="J111" s="230"/>
      <c r="L111" s="227">
        <f t="shared" si="19"/>
        <v>10</v>
      </c>
      <c r="N111" s="222">
        <f t="shared" si="20"/>
        <v>741099.81521696015</v>
      </c>
      <c r="O111" s="231">
        <f t="shared" si="21"/>
        <v>413826.26598990953</v>
      </c>
      <c r="P111" s="222">
        <f t="shared" si="22"/>
        <v>1318254.6862460326</v>
      </c>
      <c r="Q111" s="231">
        <f t="shared" si="23"/>
        <v>736106.53144366201</v>
      </c>
    </row>
    <row r="112" spans="2:17" hidden="1" outlineLevel="1" x14ac:dyDescent="0.2">
      <c r="F112" s="229"/>
      <c r="J112" s="230"/>
      <c r="L112" s="227">
        <f t="shared" si="19"/>
        <v>11</v>
      </c>
      <c r="N112" s="222">
        <f t="shared" si="20"/>
        <v>741099.81521696015</v>
      </c>
      <c r="O112" s="231">
        <f t="shared" si="21"/>
        <v>390402.13772632967</v>
      </c>
      <c r="P112" s="222">
        <f t="shared" si="22"/>
        <v>1318254.6862460326</v>
      </c>
      <c r="Q112" s="231">
        <f t="shared" si="23"/>
        <v>694440.12400345469</v>
      </c>
    </row>
    <row r="113" spans="1:30" hidden="1" outlineLevel="1" x14ac:dyDescent="0.2">
      <c r="F113" s="229"/>
      <c r="J113" s="230"/>
      <c r="L113" s="227">
        <f t="shared" si="19"/>
        <v>12</v>
      </c>
      <c r="N113" s="222">
        <f t="shared" si="20"/>
        <v>741099.81521696015</v>
      </c>
      <c r="O113" s="231">
        <f t="shared" si="21"/>
        <v>368303.90351540537</v>
      </c>
      <c r="P113" s="222">
        <f t="shared" si="22"/>
        <v>1318254.6862460326</v>
      </c>
      <c r="Q113" s="231">
        <f t="shared" si="23"/>
        <v>655132.19245608931</v>
      </c>
    </row>
    <row r="114" spans="1:30" hidden="1" outlineLevel="1" x14ac:dyDescent="0.2">
      <c r="F114" s="229"/>
      <c r="J114" s="230"/>
      <c r="L114" s="227">
        <f t="shared" si="19"/>
        <v>13</v>
      </c>
      <c r="N114" s="222">
        <f t="shared" si="20"/>
        <v>741099.81521696015</v>
      </c>
      <c r="O114" s="231">
        <f t="shared" si="21"/>
        <v>347456.51275038242</v>
      </c>
      <c r="P114" s="222">
        <f t="shared" si="22"/>
        <v>1318254.6862460326</v>
      </c>
      <c r="Q114" s="231">
        <f t="shared" si="23"/>
        <v>618049.23816612188</v>
      </c>
    </row>
    <row r="115" spans="1:30" hidden="1" outlineLevel="1" x14ac:dyDescent="0.2">
      <c r="F115" s="229"/>
      <c r="J115" s="230"/>
      <c r="L115" s="227">
        <f t="shared" si="19"/>
        <v>14</v>
      </c>
      <c r="N115" s="222">
        <f t="shared" si="20"/>
        <v>741099.81521696015</v>
      </c>
      <c r="O115" s="231">
        <f t="shared" si="21"/>
        <v>327789.16297205887</v>
      </c>
      <c r="P115" s="222">
        <f t="shared" si="22"/>
        <v>1318254.6862460326</v>
      </c>
      <c r="Q115" s="231">
        <f t="shared" si="23"/>
        <v>583065.3190246434</v>
      </c>
    </row>
    <row r="116" spans="1:30" hidden="1" outlineLevel="1" x14ac:dyDescent="0.2">
      <c r="F116" s="229"/>
      <c r="J116" s="230"/>
      <c r="L116" s="227">
        <f t="shared" si="19"/>
        <v>15</v>
      </c>
      <c r="N116" s="222">
        <f t="shared" si="20"/>
        <v>741099.81521696015</v>
      </c>
      <c r="O116" s="231">
        <f t="shared" si="21"/>
        <v>309235.05940760265</v>
      </c>
      <c r="P116" s="222">
        <f t="shared" si="22"/>
        <v>1318254.6862460326</v>
      </c>
      <c r="Q116" s="231">
        <f t="shared" si="23"/>
        <v>550061.62172136153</v>
      </c>
    </row>
    <row r="117" spans="1:30" hidden="1" outlineLevel="1" x14ac:dyDescent="0.2">
      <c r="F117" s="229"/>
      <c r="J117" s="230"/>
      <c r="L117" s="227">
        <f t="shared" si="19"/>
        <v>16</v>
      </c>
      <c r="N117" s="222">
        <f t="shared" si="20"/>
        <v>741099.81521696015</v>
      </c>
      <c r="O117" s="231">
        <f t="shared" si="21"/>
        <v>291731.18812037993</v>
      </c>
      <c r="P117" s="222">
        <f t="shared" si="22"/>
        <v>1318254.6862460326</v>
      </c>
      <c r="Q117" s="231">
        <f t="shared" si="23"/>
        <v>518926.05822769966</v>
      </c>
    </row>
    <row r="118" spans="1:30" hidden="1" outlineLevel="1" x14ac:dyDescent="0.2">
      <c r="F118" s="229"/>
      <c r="J118" s="230"/>
      <c r="L118" s="227">
        <f t="shared" si="19"/>
        <v>17</v>
      </c>
      <c r="N118" s="222">
        <f t="shared" si="20"/>
        <v>741099.81521696015</v>
      </c>
      <c r="O118" s="231">
        <f t="shared" si="21"/>
        <v>275218.10200035834</v>
      </c>
      <c r="P118" s="222">
        <f t="shared" si="22"/>
        <v>1318254.6862460326</v>
      </c>
      <c r="Q118" s="231">
        <f t="shared" si="23"/>
        <v>489552.8851204713</v>
      </c>
    </row>
    <row r="119" spans="1:30" hidden="1" outlineLevel="1" x14ac:dyDescent="0.2">
      <c r="F119" s="229"/>
      <c r="J119" s="230"/>
      <c r="L119" s="227">
        <f t="shared" si="19"/>
        <v>18</v>
      </c>
      <c r="N119" s="222">
        <f t="shared" si="20"/>
        <v>741099.81521696015</v>
      </c>
      <c r="O119" s="231">
        <f t="shared" si="21"/>
        <v>259639.7188682626</v>
      </c>
      <c r="P119" s="222">
        <f t="shared" si="22"/>
        <v>1318254.6862460326</v>
      </c>
      <c r="Q119" s="231">
        <f t="shared" si="23"/>
        <v>461842.34445327485</v>
      </c>
    </row>
    <row r="120" spans="1:30" hidden="1" outlineLevel="1" x14ac:dyDescent="0.2">
      <c r="F120" s="229"/>
      <c r="J120" s="230"/>
      <c r="L120" s="227">
        <f t="shared" si="19"/>
        <v>19</v>
      </c>
      <c r="N120" s="222">
        <f t="shared" si="20"/>
        <v>741099.81521696015</v>
      </c>
      <c r="O120" s="231">
        <f t="shared" si="21"/>
        <v>244943.13100779487</v>
      </c>
      <c r="P120" s="222">
        <f t="shared" si="22"/>
        <v>1318254.6862460326</v>
      </c>
      <c r="Q120" s="231">
        <f t="shared" si="23"/>
        <v>435700.32495591958</v>
      </c>
    </row>
    <row r="121" spans="1:30" hidden="1" outlineLevel="1" x14ac:dyDescent="0.2">
      <c r="F121" s="229"/>
      <c r="J121" s="230"/>
      <c r="L121" s="227">
        <f t="shared" si="19"/>
        <v>20</v>
      </c>
      <c r="N121" s="222">
        <f t="shared" si="20"/>
        <v>741099.81521696015</v>
      </c>
      <c r="O121" s="231">
        <f t="shared" si="21"/>
        <v>231078.4254790518</v>
      </c>
      <c r="P121" s="222">
        <f t="shared" si="22"/>
        <v>1318254.6862460326</v>
      </c>
      <c r="Q121" s="231">
        <f t="shared" si="23"/>
        <v>411038.04241124494</v>
      </c>
    </row>
    <row r="122" spans="1:30" hidden="1" outlineLevel="1" x14ac:dyDescent="0.2">
      <c r="F122" s="229"/>
      <c r="L122" s="233"/>
      <c r="N122" s="222"/>
      <c r="O122" s="231"/>
      <c r="P122" s="222"/>
      <c r="Q122" s="231"/>
    </row>
    <row r="123" spans="1:30" hidden="1" outlineLevel="1" x14ac:dyDescent="0.2">
      <c r="F123" s="229"/>
      <c r="L123" s="224" t="s">
        <v>28</v>
      </c>
      <c r="N123" s="222"/>
      <c r="O123" s="226">
        <f>SUM(O102:O121)</f>
        <v>8507015.0743848719</v>
      </c>
      <c r="P123" s="222"/>
      <c r="Q123" s="226">
        <f>SUM(Q102:Q121)</f>
        <v>15120277.397246446</v>
      </c>
    </row>
    <row r="124" spans="1:30" hidden="1" outlineLevel="1" x14ac:dyDescent="0.2">
      <c r="F124" s="229"/>
      <c r="N124" s="160"/>
      <c r="O124" s="162"/>
      <c r="P124" s="234"/>
      <c r="Q124" s="235"/>
    </row>
    <row r="125" spans="1:30" hidden="1" outlineLevel="1" x14ac:dyDescent="0.2">
      <c r="F125" s="229"/>
    </row>
    <row r="126" spans="1:30" collapsed="1" x14ac:dyDescent="0.2">
      <c r="F126" s="229"/>
    </row>
    <row r="127" spans="1:30" x14ac:dyDescent="0.2">
      <c r="A127" s="99" t="str">
        <f>Input!D92</f>
        <v>Diesel powered irrigation system</v>
      </c>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7"/>
    </row>
    <row r="128" spans="1:30" x14ac:dyDescent="0.2">
      <c r="A128" s="100"/>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9"/>
    </row>
    <row r="129" spans="1:30" ht="14.25" x14ac:dyDescent="0.2">
      <c r="A129" s="240" t="str">
        <f>Input!C96</f>
        <v>Generator</v>
      </c>
      <c r="B129" s="238"/>
      <c r="C129" s="238" t="str">
        <f>IF(Input!$E$8="","",Input!$E$8)</f>
        <v>KES</v>
      </c>
      <c r="D129" s="238">
        <f>Input!E96</f>
        <v>150000</v>
      </c>
      <c r="E129" s="246">
        <f>IF(MOD(E11,Input!$G$96)=0,($D$129*(1+$B$2)^E11),0)</f>
        <v>0</v>
      </c>
      <c r="F129" s="246">
        <f>IF(MOD(F11,Input!$G$96)=0,($D$129*(1+$B$2)^F11),0)</f>
        <v>0</v>
      </c>
      <c r="G129" s="246">
        <f>IF(MOD(G11,Input!$G$96)=0,($D$129*(1+$B$2)^G11),0)</f>
        <v>207929.38125000001</v>
      </c>
      <c r="H129" s="246">
        <f>IF(MOD(H11,Input!$G$96)=0,($D$129*(1+$B$2)^H11),0)</f>
        <v>0</v>
      </c>
      <c r="I129" s="246">
        <f>IF(MOD(I11,Input!$G$96)=0,($D$129*(1+$B$2)^I11),0)</f>
        <v>0</v>
      </c>
      <c r="J129" s="246">
        <f>IF(MOD(J11,Input!$G$96)=0,($D$129*(1+$B$2)^J11),0)</f>
        <v>288230.85058005241</v>
      </c>
      <c r="K129" s="246">
        <f>IF(MOD(K11,Input!$G$96)=0,($D$129*(1+$B$2)^K11),0)</f>
        <v>0</v>
      </c>
      <c r="L129" s="246">
        <f>IF(MOD(L11,Input!$G$96)=0,($D$129*(1+$B$2)^L11),0)</f>
        <v>0</v>
      </c>
      <c r="M129" s="246">
        <f>IF(MOD(M11,Input!$G$96)=0,($D$129*(1+$B$2)^M11),0)</f>
        <v>399544.41612180998</v>
      </c>
      <c r="N129" s="246">
        <f>IF(MOD(N11,Input!$G$96)=0,($D$129*(1+$B$2)^N11),0)</f>
        <v>0</v>
      </c>
      <c r="O129" s="246">
        <f>IF(MOD(O11,Input!$G$96)=0,($D$129*(1+$B$2)^O11),0)</f>
        <v>0</v>
      </c>
      <c r="P129" s="246">
        <f>IF(MOD(P11,Input!$G$96)=0,($D$129*(1+$B$2)^P11),0)</f>
        <v>553846.82150733657</v>
      </c>
      <c r="Q129" s="246">
        <f>IF(MOD(Q11,Input!$G$96)=0,($D$129*(1+$B$2)^Q11),0)</f>
        <v>0</v>
      </c>
      <c r="R129" s="246">
        <f>IF(MOD(R11,Input!$G$96)=0,($D$129*(1+$B$2)^R11),0)</f>
        <v>0</v>
      </c>
      <c r="S129" s="246">
        <f>IF(MOD(S11,Input!$G$96)=0,($D$129*(1+$B$2)^S11),0)</f>
        <v>767740.17935533135</v>
      </c>
      <c r="T129" s="246">
        <f>IF(MOD(T11,Input!$G$96)=0,($D$129*(1+$B$2)^T11),0)</f>
        <v>0</v>
      </c>
      <c r="U129" s="246">
        <f>IF(MOD(U11,Input!$G$96)=0,($D$129*(1+$B$2)^U11),0)</f>
        <v>0</v>
      </c>
      <c r="V129" s="246">
        <f>IF(MOD(V11,Input!$G$96)=0,($D$129*(1+$B$2)^V11),0)</f>
        <v>1064238.2696941206</v>
      </c>
      <c r="W129" s="246">
        <f>IF(MOD(W11,Input!$G$96)=0,($D$129*(1+$B$2)^W11),0)</f>
        <v>0</v>
      </c>
      <c r="X129" s="246">
        <f>IF(MOD(X11,Input!$G$96)=0,($D$129*(1+$B$2)^X11),0)</f>
        <v>0</v>
      </c>
      <c r="Y129" s="246">
        <f>IF(MOD(Y11,Input!$G$96)=0,($D$129*(1+$B$2)^Y11),0)</f>
        <v>1475242.6994671277</v>
      </c>
      <c r="Z129" s="246">
        <f>IF(MOD(Z11,Input!$G$96)=0,($D$129*(1+$B$2)^Z11),0)</f>
        <v>0</v>
      </c>
      <c r="AA129" s="246">
        <f>IF(MOD(AA11,Input!$G$96)=0,($D$129*(1+$B$2)^AA11),0)</f>
        <v>0</v>
      </c>
      <c r="AB129" s="246">
        <f>IF(MOD(AB11,Input!$G$96)=0,($D$129*(1+$B$2)^AB11),0)</f>
        <v>2044975.3446251974</v>
      </c>
      <c r="AC129" s="246">
        <f>IF(MOD(AC11,Input!$G$96)=0,($D$129*(1+$B$2)^AC11),0)</f>
        <v>0</v>
      </c>
      <c r="AD129" s="239"/>
    </row>
    <row r="130" spans="1:30" ht="14.25" x14ac:dyDescent="0.2">
      <c r="A130" s="240" t="str">
        <f>Input!C97</f>
        <v>Pump</v>
      </c>
      <c r="B130" s="238"/>
      <c r="C130" s="238" t="str">
        <f>IF(Input!$E$8="","",Input!$E$8)</f>
        <v>KES</v>
      </c>
      <c r="D130" s="238">
        <f>Input!E97</f>
        <v>150000</v>
      </c>
      <c r="E130" s="246">
        <f>IF(MOD(E11,Input!$G$97)=0,($D$130*(1+$B$2)^E11),0)</f>
        <v>0</v>
      </c>
      <c r="F130" s="246">
        <f>IF(MOD(F11,Input!$G$97)=0,($D$130*(1+$B$2)^F11),0)</f>
        <v>0</v>
      </c>
      <c r="G130" s="246">
        <f>IF(MOD(G11,Input!$G$97)=0,($D$130*(1+$B$2)^G11),0)</f>
        <v>0</v>
      </c>
      <c r="H130" s="246">
        <f>IF(MOD(H11,Input!$G$97)=0,($D$130*(1+$B$2)^H11),0)</f>
        <v>0</v>
      </c>
      <c r="I130" s="246">
        <f>IF(MOD(I11,Input!$G$97)=0,($D$130*(1+$B$2)^I11),0)</f>
        <v>258503.0050045313</v>
      </c>
      <c r="J130" s="246">
        <f>IF(MOD(J11,Input!$G$97)=0,($D$130*(1+$B$2)^J11),0)</f>
        <v>0</v>
      </c>
      <c r="K130" s="246">
        <f>IF(MOD(K11,Input!$G$97)=0,($D$130*(1+$B$2)^K11),0)</f>
        <v>0</v>
      </c>
      <c r="L130" s="246">
        <f>IF(MOD(L11,Input!$G$97)=0,($D$130*(1+$B$2)^L11),0)</f>
        <v>0</v>
      </c>
      <c r="M130" s="246">
        <f>IF(MOD(M11,Input!$G$97)=0,($D$130*(1+$B$2)^M11),0)</f>
        <v>0</v>
      </c>
      <c r="N130" s="246">
        <f>IF(MOD(N11,Input!$G$97)=0,($D$130*(1+$B$2)^N11),0)</f>
        <v>445492.02397581819</v>
      </c>
      <c r="O130" s="246">
        <f>IF(MOD(O11,Input!$G$97)=0,($D$130*(1+$B$2)^O11),0)</f>
        <v>0</v>
      </c>
      <c r="P130" s="246">
        <f>IF(MOD(P11,Input!$G$97)=0,($D$130*(1+$B$2)^P11),0)</f>
        <v>0</v>
      </c>
      <c r="Q130" s="246">
        <f>IF(MOD(Q11,Input!$G$97)=0,($D$130*(1+$B$2)^Q11),0)</f>
        <v>0</v>
      </c>
      <c r="R130" s="246">
        <f>IF(MOD(R11,Input!$G$97)=0,($D$130*(1+$B$2)^R11),0)</f>
        <v>0</v>
      </c>
      <c r="S130" s="246">
        <f>IF(MOD(S11,Input!$G$97)=0,($D$130*(1+$B$2)^S11),0)</f>
        <v>767740.17935533135</v>
      </c>
      <c r="T130" s="246">
        <f>IF(MOD(T11,Input!$G$97)=0,($D$130*(1+$B$2)^T11),0)</f>
        <v>0</v>
      </c>
      <c r="U130" s="246">
        <f>IF(MOD(U11,Input!$G$97)=0,($D$130*(1+$B$2)^U11),0)</f>
        <v>0</v>
      </c>
      <c r="V130" s="246">
        <f>IF(MOD(V11,Input!$G$97)=0,($D$130*(1+$B$2)^V11),0)</f>
        <v>0</v>
      </c>
      <c r="W130" s="246">
        <f>IF(MOD(W11,Input!$G$97)=0,($D$130*(1+$B$2)^W11),0)</f>
        <v>0</v>
      </c>
      <c r="X130" s="246">
        <f>IF(MOD(X11,Input!$G$97)=0,($D$130*(1+$B$2)^X11),0)</f>
        <v>1323087.6228404732</v>
      </c>
      <c r="Y130" s="246">
        <f>IF(MOD(Y11,Input!$G$97)=0,($D$130*(1+$B$2)^Y11),0)</f>
        <v>0</v>
      </c>
      <c r="Z130" s="246">
        <f>IF(MOD(Z11,Input!$G$97)=0,($D$130*(1+$B$2)^Z11),0)</f>
        <v>0</v>
      </c>
      <c r="AA130" s="246">
        <f>IF(MOD(AA11,Input!$G$97)=0,($D$130*(1+$B$2)^AA11),0)</f>
        <v>0</v>
      </c>
      <c r="AB130" s="246">
        <f>IF(MOD(AB11,Input!$G$97)=0,($D$130*(1+$B$2)^AB11),0)</f>
        <v>0</v>
      </c>
      <c r="AC130" s="246">
        <f>IF(MOD(AC11,Input!$G$97)=0,($D$130*(1+$B$2)^AC11),0)</f>
        <v>2280147.5092570949</v>
      </c>
      <c r="AD130" s="239"/>
    </row>
    <row r="131" spans="1:30" ht="14.25" x14ac:dyDescent="0.2">
      <c r="A131" s="240" t="s">
        <v>8</v>
      </c>
      <c r="B131" s="238"/>
      <c r="C131" s="238" t="str">
        <f>IF(Input!$E$8="","",Input!$E$8)</f>
        <v>KES</v>
      </c>
      <c r="D131" s="238">
        <f>Input!E98</f>
        <v>50000</v>
      </c>
      <c r="E131" s="246">
        <f>IF(MOD(E11,Input!$G$98)=0,($D$131*(1+$B$2)^E11),0)</f>
        <v>0</v>
      </c>
      <c r="F131" s="246">
        <f>IF(MOD(F11,Input!$G$98)=0,($D$131*(1+$B$2)^F11),0)</f>
        <v>0</v>
      </c>
      <c r="G131" s="246">
        <f>IF(MOD(G11,Input!$G$98)=0,($D$131*(1+$B$2)^G11),0)</f>
        <v>0</v>
      </c>
      <c r="H131" s="246">
        <f>IF(MOD(H11,Input!$G$98)=0,($D$131*(1+$B$2)^H11),0)</f>
        <v>0</v>
      </c>
      <c r="I131" s="246">
        <f>IF(MOD(I11,Input!$G$98)=0,($D$131*(1+$B$2)^I11),0)</f>
        <v>86167.668334843765</v>
      </c>
      <c r="J131" s="246">
        <f>IF(MOD(J11,Input!$G$98)=0,($D$131*(1+$B$2)^J11),0)</f>
        <v>0</v>
      </c>
      <c r="K131" s="246">
        <f>IF(MOD(K11,Input!$G$98)=0,($D$131*(1+$B$2)^K11),0)</f>
        <v>0</v>
      </c>
      <c r="L131" s="246">
        <f>IF(MOD(L11,Input!$G$98)=0,($D$131*(1+$B$2)^L11),0)</f>
        <v>0</v>
      </c>
      <c r="M131" s="246">
        <f>IF(MOD(M11,Input!$G$98)=0,($D$131*(1+$B$2)^M11),0)</f>
        <v>0</v>
      </c>
      <c r="N131" s="246">
        <f>IF(MOD(N11,Input!$G$98)=0,($D$131*(1+$B$2)^N11),0)</f>
        <v>148497.34132527272</v>
      </c>
      <c r="O131" s="246">
        <f>IF(MOD(O11,Input!$G$98)=0,($D$131*(1+$B$2)^O11),0)</f>
        <v>0</v>
      </c>
      <c r="P131" s="246">
        <f>IF(MOD(P11,Input!$G$98)=0,($D$131*(1+$B$2)^P11),0)</f>
        <v>0</v>
      </c>
      <c r="Q131" s="246">
        <f>IF(MOD(Q11,Input!$G$98)=0,($D$131*(1+$B$2)^Q11),0)</f>
        <v>0</v>
      </c>
      <c r="R131" s="246">
        <f>IF(MOD(R11,Input!$G$98)=0,($D$131*(1+$B$2)^R11),0)</f>
        <v>0</v>
      </c>
      <c r="S131" s="246">
        <f>IF(MOD(S11,Input!$G$98)=0,($D$131*(1+$B$2)^S11),0)</f>
        <v>255913.39311844375</v>
      </c>
      <c r="T131" s="246">
        <f>IF(MOD(T11,Input!$G$98)=0,($D$131*(1+$B$2)^T11),0)</f>
        <v>0</v>
      </c>
      <c r="U131" s="246">
        <f>IF(MOD(U11,Input!$G$98)=0,($D$131*(1+$B$2)^U11),0)</f>
        <v>0</v>
      </c>
      <c r="V131" s="246">
        <f>IF(MOD(V11,Input!$G$98)=0,($D$131*(1+$B$2)^V11),0)</f>
        <v>0</v>
      </c>
      <c r="W131" s="246">
        <f>IF(MOD(W11,Input!$G$98)=0,($D$131*(1+$B$2)^W11),0)</f>
        <v>0</v>
      </c>
      <c r="X131" s="246">
        <f>IF(MOD(X11,Input!$G$98)=0,($D$131*(1+$B$2)^X11),0)</f>
        <v>441029.2076134911</v>
      </c>
      <c r="Y131" s="246">
        <f>IF(MOD(Y11,Input!$G$98)=0,($D$131*(1+$B$2)^Y11),0)</f>
        <v>0</v>
      </c>
      <c r="Z131" s="246">
        <f>IF(MOD(Z11,Input!$G$98)=0,($D$131*(1+$B$2)^Z11),0)</f>
        <v>0</v>
      </c>
      <c r="AA131" s="246">
        <f>IF(MOD(AA11,Input!$G$98)=0,($D$131*(1+$B$2)^AA11),0)</f>
        <v>0</v>
      </c>
      <c r="AB131" s="246">
        <f>IF(MOD(AB11,Input!$G$98)=0,($D$131*(1+$B$2)^AB11),0)</f>
        <v>0</v>
      </c>
      <c r="AC131" s="246">
        <f>IF(MOD(AC11,Input!$G$98)=0,($D$131*(1+$B$2)^AC11),0)</f>
        <v>760049.16975236498</v>
      </c>
      <c r="AD131" s="239"/>
    </row>
    <row r="132" spans="1:30" ht="14.25" x14ac:dyDescent="0.2">
      <c r="A132" s="240" t="str">
        <f>Input!C99</f>
        <v>Water storage</v>
      </c>
      <c r="B132" s="238"/>
      <c r="C132" s="238" t="str">
        <f>IF(Input!$E$8="","",Input!$E$8)</f>
        <v>KES</v>
      </c>
      <c r="D132" s="238">
        <f>Input!E99</f>
        <v>55000</v>
      </c>
      <c r="E132" s="246">
        <f>IF(MOD(E11,Input!$G$99)=0,($D$132*(1+$B$2)^E11),0)</f>
        <v>0</v>
      </c>
      <c r="F132" s="246">
        <f>IF(MOD(F11,Input!$G$99)=0,($D$132*(1+$B$2)^F11),0)</f>
        <v>0</v>
      </c>
      <c r="G132" s="246">
        <f>IF(MOD(G11,Input!$G$99)=0,($D$132*(1+$B$2)^G11),0)</f>
        <v>0</v>
      </c>
      <c r="H132" s="246">
        <f>IF(MOD(H11,Input!$G$99)=0,($D$132*(1+$B$2)^H11),0)</f>
        <v>0</v>
      </c>
      <c r="I132" s="246">
        <f>IF(MOD(I11,Input!$G$99)=0,($D$132*(1+$B$2)^I11),0)</f>
        <v>0</v>
      </c>
      <c r="J132" s="246">
        <f>IF(MOD(J11,Input!$G$99)=0,($D$132*(1+$B$2)^J11),0)</f>
        <v>0</v>
      </c>
      <c r="K132" s="246">
        <f>IF(MOD(K11,Input!$G$99)=0,($D$132*(1+$B$2)^K11),0)</f>
        <v>0</v>
      </c>
      <c r="L132" s="246">
        <f>IF(MOD(L11,Input!$G$99)=0,($D$132*(1+$B$2)^L11),0)</f>
        <v>0</v>
      </c>
      <c r="M132" s="246">
        <f>IF(MOD(M11,Input!$G$99)=0,($D$132*(1+$B$2)^M11),0)</f>
        <v>0</v>
      </c>
      <c r="N132" s="246">
        <f>IF(MOD(N11,Input!$G$99)=0,($D$132*(1+$B$2)^N11),0)</f>
        <v>0</v>
      </c>
      <c r="O132" s="246">
        <f>IF(MOD(O11,Input!$G$99)=0,($D$132*(1+$B$2)^O11),0)</f>
        <v>0</v>
      </c>
      <c r="P132" s="246">
        <f>IF(MOD(P11,Input!$G$99)=0,($D$132*(1+$B$2)^P11),0)</f>
        <v>0</v>
      </c>
      <c r="Q132" s="246">
        <f>IF(MOD(Q11,Input!$G$99)=0,($D$132*(1+$B$2)^Q11),0)</f>
        <v>0</v>
      </c>
      <c r="R132" s="246">
        <f>IF(MOD(R11,Input!$G$99)=0,($D$132*(1+$B$2)^R11),0)</f>
        <v>0</v>
      </c>
      <c r="S132" s="246">
        <f>IF(MOD(S11,Input!$G$99)=0,($D$132*(1+$B$2)^S11),0)</f>
        <v>0</v>
      </c>
      <c r="T132" s="246">
        <f>IF(MOD(T11,Input!$G$99)=0,($D$132*(1+$B$2)^T11),0)</f>
        <v>0</v>
      </c>
      <c r="U132" s="246">
        <f>IF(MOD(U11,Input!$G$99)=0,($D$132*(1+$B$2)^U11),0)</f>
        <v>0</v>
      </c>
      <c r="V132" s="246">
        <f>IF(MOD(V11,Input!$G$99)=0,($D$132*(1+$B$2)^V11),0)</f>
        <v>0</v>
      </c>
      <c r="W132" s="246">
        <f>IF(MOD(W11,Input!$G$99)=0,($D$132*(1+$B$2)^W11),0)</f>
        <v>0</v>
      </c>
      <c r="X132" s="246">
        <f>IF(MOD(X11,Input!$G$99)=0,($D$132*(1+$B$2)^X11),0)</f>
        <v>485132.12837484019</v>
      </c>
      <c r="Y132" s="246">
        <f>IF(MOD(Y11,Input!$G$99)=0,($D$132*(1+$B$2)^Y11),0)</f>
        <v>0</v>
      </c>
      <c r="Z132" s="246">
        <f>IF(MOD(Z11,Input!$G$99)=0,($D$132*(1+$B$2)^Z11),0)</f>
        <v>0</v>
      </c>
      <c r="AA132" s="246">
        <f>IF(MOD(AA11,Input!$G$99)=0,($D$132*(1+$B$2)^AA11),0)</f>
        <v>0</v>
      </c>
      <c r="AB132" s="246">
        <f>IF(MOD(AB11,Input!$G$99)=0,($D$132*(1+$B$2)^AB11),0)</f>
        <v>0</v>
      </c>
      <c r="AC132" s="246">
        <f>IF(MOD(AC11,Input!$G$99)=0,($D$132*(1+$B$2)^AC11),0)</f>
        <v>0</v>
      </c>
      <c r="AD132" s="239"/>
    </row>
    <row r="133" spans="1:30" ht="14.25" x14ac:dyDescent="0.2">
      <c r="A133" s="241" t="s">
        <v>3</v>
      </c>
      <c r="B133" s="238"/>
      <c r="C133" s="238" t="str">
        <f>IF(Input!$E$8="","",Input!$E$8)</f>
        <v>KES</v>
      </c>
      <c r="D133" s="238">
        <f>Input!E100</f>
        <v>80000</v>
      </c>
      <c r="E133" s="246">
        <f>IF(MOD(E11,Input!$G$100)=0,($D$133*(1+$B$2)^E11),0)</f>
        <v>0</v>
      </c>
      <c r="F133" s="246">
        <f>IF(MOD(F11,Input!$G$100)=0,($D$133*(1+$B$2)^F11),0)</f>
        <v>0</v>
      </c>
      <c r="G133" s="246">
        <f>IF(MOD(G11,Input!$G$100)=0,($D$133*(1+$B$2)^G11),0)</f>
        <v>0</v>
      </c>
      <c r="H133" s="246">
        <f>IF(MOD(H11,Input!$G$100)=0,($D$133*(1+$B$2)^H11),0)</f>
        <v>0</v>
      </c>
      <c r="I133" s="246">
        <f>IF(MOD(I11,Input!$G$100)=0,($D$133*(1+$B$2)^I11),0)</f>
        <v>137868.26933575002</v>
      </c>
      <c r="J133" s="246">
        <f>IF(MOD(J11,Input!$G$100)=0,($D$133*(1+$B$2)^J11),0)</f>
        <v>0</v>
      </c>
      <c r="K133" s="246">
        <f>IF(MOD(K11,Input!$G$100)=0,($D$133*(1+$B$2)^K11),0)</f>
        <v>0</v>
      </c>
      <c r="L133" s="246">
        <f>IF(MOD(L11,Input!$G$100)=0,($D$133*(1+$B$2)^L11),0)</f>
        <v>0</v>
      </c>
      <c r="M133" s="246">
        <f>IF(MOD(M11,Input!$G$100)=0,($D$133*(1+$B$2)^M11),0)</f>
        <v>0</v>
      </c>
      <c r="N133" s="246">
        <f>IF(MOD(N11,Input!$G$100)=0,($D$133*(1+$B$2)^N11),0)</f>
        <v>237595.74612043635</v>
      </c>
      <c r="O133" s="246">
        <f>IF(MOD(O11,Input!$G$100)=0,($D$133*(1+$B$2)^O11),0)</f>
        <v>0</v>
      </c>
      <c r="P133" s="246">
        <f>IF(MOD(P11,Input!$G$100)=0,($D$133*(1+$B$2)^P11),0)</f>
        <v>0</v>
      </c>
      <c r="Q133" s="246">
        <f>IF(MOD(Q11,Input!$G$100)=0,($D$133*(1+$B$2)^Q11),0)</f>
        <v>0</v>
      </c>
      <c r="R133" s="246">
        <f>IF(MOD(R11,Input!$G$100)=0,($D$133*(1+$B$2)^R11),0)</f>
        <v>0</v>
      </c>
      <c r="S133" s="246">
        <f>IF(MOD(S11,Input!$G$100)=0,($D$133*(1+$B$2)^S11),0)</f>
        <v>409461.42898951005</v>
      </c>
      <c r="T133" s="246">
        <f>IF(MOD(T11,Input!$G$100)=0,($D$133*(1+$B$2)^T11),0)</f>
        <v>0</v>
      </c>
      <c r="U133" s="246">
        <f>IF(MOD(U11,Input!$G$100)=0,($D$133*(1+$B$2)^U11),0)</f>
        <v>0</v>
      </c>
      <c r="V133" s="246">
        <f>IF(MOD(V11,Input!$G$100)=0,($D$133*(1+$B$2)^V11),0)</f>
        <v>0</v>
      </c>
      <c r="W133" s="246">
        <f>IF(MOD(W11,Input!$G$100)=0,($D$133*(1+$B$2)^W11),0)</f>
        <v>0</v>
      </c>
      <c r="X133" s="246">
        <f>IF(MOD(X11,Input!$G$100)=0,($D$133*(1+$B$2)^X11),0)</f>
        <v>705646.73218158574</v>
      </c>
      <c r="Y133" s="246">
        <f>IF(MOD(Y11,Input!$G$100)=0,($D$133*(1+$B$2)^Y11),0)</f>
        <v>0</v>
      </c>
      <c r="Z133" s="246">
        <f>IF(MOD(Z11,Input!$G$100)=0,($D$133*(1+$B$2)^Z11),0)</f>
        <v>0</v>
      </c>
      <c r="AA133" s="246">
        <f>IF(MOD(AA11,Input!$G$100)=0,($D$133*(1+$B$2)^AA11),0)</f>
        <v>0</v>
      </c>
      <c r="AB133" s="246">
        <f>IF(MOD(AB11,Input!$G$100)=0,($D$133*(1+$B$2)^AB11),0)</f>
        <v>0</v>
      </c>
      <c r="AC133" s="246">
        <f>IF(MOD(AC11,Input!$G$100)=0,($D$133*(1+$B$2)^AC11),0)</f>
        <v>1216078.671603784</v>
      </c>
      <c r="AD133" s="239"/>
    </row>
    <row r="134" spans="1:30" ht="14.25" x14ac:dyDescent="0.2">
      <c r="A134" s="241" t="s">
        <v>2</v>
      </c>
      <c r="B134" s="238"/>
      <c r="C134" s="238" t="str">
        <f>IF(Input!$E$8="","",Input!$E$8)</f>
        <v>KES</v>
      </c>
      <c r="D134" s="238">
        <f>Input!E101</f>
        <v>0</v>
      </c>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9"/>
    </row>
    <row r="135" spans="1:30" ht="14.25" x14ac:dyDescent="0.2">
      <c r="A135" s="241" t="s">
        <v>0</v>
      </c>
      <c r="B135" s="238"/>
      <c r="C135" s="238" t="str">
        <f>IF(Input!$E$8="","",Input!$E$8)</f>
        <v>KES</v>
      </c>
      <c r="D135" s="238">
        <f>Input!E102</f>
        <v>25000</v>
      </c>
      <c r="E135" s="238"/>
      <c r="F135" s="238"/>
      <c r="G135" s="238"/>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9"/>
    </row>
    <row r="136" spans="1:30" ht="14.25" x14ac:dyDescent="0.2">
      <c r="A136" s="241" t="s">
        <v>63</v>
      </c>
      <c r="B136" s="238"/>
      <c r="C136" s="238" t="str">
        <f>IF(Input!$E$8="","",Input!$E$8)</f>
        <v>KES</v>
      </c>
      <c r="D136" s="238">
        <f>Input!E103</f>
        <v>0</v>
      </c>
      <c r="E136" s="238"/>
      <c r="F136" s="238"/>
      <c r="G136" s="238"/>
      <c r="H136" s="238"/>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9"/>
    </row>
    <row r="137" spans="1:30" x14ac:dyDescent="0.2">
      <c r="A137" s="242" t="s">
        <v>94</v>
      </c>
      <c r="B137" s="238"/>
      <c r="C137" s="243" t="str">
        <f>IF(Input!$E$8="","",Input!$E$8)</f>
        <v>KES</v>
      </c>
      <c r="D137" s="243">
        <v>0</v>
      </c>
      <c r="E137" s="244">
        <f>IF(E11&lt;='Loan Repayment Diesel'!Loan_Years,'Loan Repayment Diesel'!Scheduled_Monthly_Payment,0)</f>
        <v>0</v>
      </c>
      <c r="F137" s="244">
        <f>IF(F11&lt;='Loan Repayment Diesel'!Loan_Years,'Loan Repayment Diesel'!Scheduled_Monthly_Payment,0)</f>
        <v>0</v>
      </c>
      <c r="G137" s="244">
        <f>IF(G11&lt;='Loan Repayment Diesel'!Loan_Years,'Loan Repayment Diesel'!Scheduled_Monthly_Payment,0)</f>
        <v>0</v>
      </c>
      <c r="H137" s="244">
        <f>IF(H11&lt;='Loan Repayment Diesel'!Loan_Years,'Loan Repayment Diesel'!Scheduled_Monthly_Payment,0)</f>
        <v>0</v>
      </c>
      <c r="I137" s="244">
        <f>IF(I11&lt;='Loan Repayment Diesel'!Loan_Years,'Loan Repayment Diesel'!Scheduled_Monthly_Payment,0)</f>
        <v>0</v>
      </c>
      <c r="J137" s="244">
        <f>IF(J11&lt;='Loan Repayment Diesel'!Loan_Years,'Loan Repayment Diesel'!Scheduled_Monthly_Payment,0)</f>
        <v>0</v>
      </c>
      <c r="K137" s="244">
        <f>IF(K11&lt;='Loan Repayment Diesel'!Loan_Years,'Loan Repayment Diesel'!Scheduled_Monthly_Payment,0)</f>
        <v>0</v>
      </c>
      <c r="L137" s="244">
        <f>IF(L11&lt;='Loan Repayment Diesel'!Loan_Years,'Loan Repayment Diesel'!Scheduled_Monthly_Payment,0)</f>
        <v>0</v>
      </c>
      <c r="M137" s="244">
        <f>IF(M11&lt;='Loan Repayment Diesel'!Loan_Years,'Loan Repayment Diesel'!Scheduled_Monthly_Payment,0)</f>
        <v>0</v>
      </c>
      <c r="N137" s="244">
        <f>IF(N11&lt;='Loan Repayment Diesel'!Loan_Years,'Loan Repayment Diesel'!Scheduled_Monthly_Payment,0)</f>
        <v>0</v>
      </c>
      <c r="O137" s="244">
        <f>IF(O11&lt;='Loan Repayment Diesel'!Loan_Years,'Loan Repayment Diesel'!Scheduled_Monthly_Payment,0)</f>
        <v>0</v>
      </c>
      <c r="P137" s="244">
        <f>IF(P11&lt;='Loan Repayment Diesel'!Loan_Years,'Loan Repayment Diesel'!Scheduled_Monthly_Payment,0)</f>
        <v>0</v>
      </c>
      <c r="Q137" s="244">
        <f>IF(Q11&lt;='Loan Repayment Diesel'!Loan_Years,'Loan Repayment Diesel'!Scheduled_Monthly_Payment,0)</f>
        <v>0</v>
      </c>
      <c r="R137" s="244">
        <f>IF(R11&lt;='Loan Repayment Diesel'!Loan_Years,'Loan Repayment Diesel'!Scheduled_Monthly_Payment,0)</f>
        <v>0</v>
      </c>
      <c r="S137" s="244">
        <f>IF(S11&lt;='Loan Repayment Diesel'!Loan_Years,'Loan Repayment Diesel'!Scheduled_Monthly_Payment,0)</f>
        <v>0</v>
      </c>
      <c r="T137" s="244">
        <f>IF(T11&lt;='Loan Repayment Diesel'!Loan_Years,'Loan Repayment Diesel'!Scheduled_Monthly_Payment,0)</f>
        <v>0</v>
      </c>
      <c r="U137" s="244">
        <f>IF(U11&lt;='Loan Repayment Diesel'!Loan_Years,'Loan Repayment Diesel'!Scheduled_Monthly_Payment,0)</f>
        <v>0</v>
      </c>
      <c r="V137" s="244">
        <f>IF(V11&lt;='Loan Repayment Diesel'!Loan_Years,'Loan Repayment Diesel'!Scheduled_Monthly_Payment,0)</f>
        <v>0</v>
      </c>
      <c r="W137" s="244">
        <f>IF(W11&lt;='Loan Repayment Diesel'!Loan_Years,'Loan Repayment Diesel'!Scheduled_Monthly_Payment,0)</f>
        <v>0</v>
      </c>
      <c r="X137" s="244">
        <f>IF(X11&lt;='Loan Repayment Diesel'!Loan_Years,'Loan Repayment Diesel'!Scheduled_Monthly_Payment,0)</f>
        <v>0</v>
      </c>
      <c r="Y137" s="244">
        <f>IF(Y11&lt;='Loan Repayment Diesel'!Loan_Years,'Loan Repayment Diesel'!Scheduled_Monthly_Payment,0)</f>
        <v>0</v>
      </c>
      <c r="Z137" s="244">
        <f>IF(Z11&lt;='Loan Repayment Diesel'!Loan_Years,'Loan Repayment Diesel'!Scheduled_Monthly_Payment,0)</f>
        <v>0</v>
      </c>
      <c r="AA137" s="244">
        <f>IF(AA11&lt;='Loan Repayment Diesel'!Loan_Years,'Loan Repayment Diesel'!Scheduled_Monthly_Payment,0)</f>
        <v>0</v>
      </c>
      <c r="AB137" s="244">
        <f>IF(AB11&lt;='Loan Repayment Diesel'!Loan_Years,'Loan Repayment Diesel'!Scheduled_Monthly_Payment,0)</f>
        <v>0</v>
      </c>
      <c r="AC137" s="244">
        <f>IF(AC11&lt;='Loan Repayment Diesel'!Loan_Years,'Loan Repayment Diesel'!Scheduled_Monthly_Payment,0)</f>
        <v>0</v>
      </c>
      <c r="AD137" s="239"/>
    </row>
    <row r="138" spans="1:30" x14ac:dyDescent="0.2">
      <c r="A138" s="242" t="s">
        <v>134</v>
      </c>
      <c r="B138" s="238"/>
      <c r="C138" s="238" t="str">
        <f>IF(Input!$E$8="","",Input!$E$8)</f>
        <v>KES</v>
      </c>
      <c r="D138" s="238">
        <v>0</v>
      </c>
      <c r="E138" s="245">
        <f>Input!E108</f>
        <v>68466.666666666657</v>
      </c>
      <c r="F138" s="246">
        <f>E138*(1+(1*$B$5))</f>
        <v>71205.333333333328</v>
      </c>
      <c r="G138" s="246">
        <f t="shared" ref="G138:AC138" si="24">F138*(1+(1*$B$5))</f>
        <v>74053.546666666662</v>
      </c>
      <c r="H138" s="246">
        <f t="shared" si="24"/>
        <v>77015.688533333334</v>
      </c>
      <c r="I138" s="246">
        <f t="shared" si="24"/>
        <v>80096.316074666669</v>
      </c>
      <c r="J138" s="246">
        <f t="shared" si="24"/>
        <v>83300.168717653345</v>
      </c>
      <c r="K138" s="246">
        <f t="shared" si="24"/>
        <v>86632.175466359477</v>
      </c>
      <c r="L138" s="246">
        <f t="shared" si="24"/>
        <v>90097.462485013864</v>
      </c>
      <c r="M138" s="246">
        <f t="shared" si="24"/>
        <v>93701.360984414423</v>
      </c>
      <c r="N138" s="246">
        <f t="shared" si="24"/>
        <v>97449.415423790997</v>
      </c>
      <c r="O138" s="246">
        <f t="shared" si="24"/>
        <v>101347.39204074263</v>
      </c>
      <c r="P138" s="246">
        <f t="shared" si="24"/>
        <v>105401.28772237235</v>
      </c>
      <c r="Q138" s="246">
        <f t="shared" si="24"/>
        <v>109617.33923126725</v>
      </c>
      <c r="R138" s="246">
        <f t="shared" si="24"/>
        <v>114002.03280051795</v>
      </c>
      <c r="S138" s="246">
        <f t="shared" si="24"/>
        <v>118562.11411253866</v>
      </c>
      <c r="T138" s="246">
        <f t="shared" si="24"/>
        <v>123304.59867704021</v>
      </c>
      <c r="U138" s="246">
        <f t="shared" si="24"/>
        <v>128236.78262412183</v>
      </c>
      <c r="V138" s="246">
        <f t="shared" si="24"/>
        <v>133366.2539290867</v>
      </c>
      <c r="W138" s="246">
        <f t="shared" si="24"/>
        <v>138700.90408625017</v>
      </c>
      <c r="X138" s="246">
        <f t="shared" si="24"/>
        <v>144248.94024970019</v>
      </c>
      <c r="Y138" s="246">
        <f t="shared" si="24"/>
        <v>150018.89785968821</v>
      </c>
      <c r="Z138" s="246">
        <f t="shared" si="24"/>
        <v>156019.65377407573</v>
      </c>
      <c r="AA138" s="246">
        <f t="shared" si="24"/>
        <v>162260.43992503878</v>
      </c>
      <c r="AB138" s="246">
        <f t="shared" si="24"/>
        <v>168750.85752204034</v>
      </c>
      <c r="AC138" s="246">
        <f t="shared" si="24"/>
        <v>175500.89182292196</v>
      </c>
      <c r="AD138" s="239"/>
    </row>
    <row r="139" spans="1:30" x14ac:dyDescent="0.2">
      <c r="A139" s="247" t="s">
        <v>20</v>
      </c>
      <c r="B139" s="238"/>
      <c r="C139" s="238" t="str">
        <f>IF(Input!$E$8="","",Input!$E$8)</f>
        <v>KES</v>
      </c>
      <c r="D139" s="238">
        <v>0</v>
      </c>
      <c r="E139" s="248">
        <f>SUM(Input!E109:E110)</f>
        <v>30000</v>
      </c>
      <c r="F139" s="246">
        <f t="shared" ref="F139" si="25">E139*(1+(1*$B$2))</f>
        <v>33450</v>
      </c>
      <c r="G139" s="246">
        <f t="shared" ref="G139" si="26">F139*(1+(1*$B$2))</f>
        <v>37296.75</v>
      </c>
      <c r="H139" s="246">
        <f t="shared" ref="H139" si="27">G139*(1+(1*$B$2))</f>
        <v>41585.876250000001</v>
      </c>
      <c r="I139" s="246">
        <f t="shared" ref="I139" si="28">H139*(1+(1*$B$2))</f>
        <v>46368.252018749998</v>
      </c>
      <c r="J139" s="246">
        <f t="shared" ref="J139" si="29">I139*(1+(1*$B$2))</f>
        <v>51700.601000906245</v>
      </c>
      <c r="K139" s="246">
        <f t="shared" ref="K139" si="30">J139*(1+(1*$B$2))</f>
        <v>57646.170116010464</v>
      </c>
      <c r="L139" s="246">
        <f t="shared" ref="L139" si="31">K139*(1+(1*$B$2))</f>
        <v>64275.479679351665</v>
      </c>
      <c r="M139" s="246">
        <f t="shared" ref="M139" si="32">L139*(1+(1*$B$2))</f>
        <v>71667.159842477107</v>
      </c>
      <c r="N139" s="246">
        <f t="shared" ref="N139" si="33">M139*(1+(1*$B$2))</f>
        <v>79908.883224361969</v>
      </c>
      <c r="O139" s="246">
        <f t="shared" ref="O139" si="34">N139*(1+(1*$B$2))</f>
        <v>89098.404795163588</v>
      </c>
      <c r="P139" s="246">
        <f t="shared" ref="P139" si="35">O139*(1+(1*$B$2))</f>
        <v>99344.721346607403</v>
      </c>
      <c r="Q139" s="246">
        <f t="shared" ref="Q139" si="36">P139*(1+(1*$B$2))</f>
        <v>110769.36430146726</v>
      </c>
      <c r="R139" s="246">
        <f t="shared" ref="R139" si="37">Q139*(1+(1*$B$2))</f>
        <v>123507.841196136</v>
      </c>
      <c r="S139" s="246">
        <f t="shared" ref="S139" si="38">R139*(1+(1*$B$2))</f>
        <v>137711.24293369162</v>
      </c>
      <c r="T139" s="246">
        <f t="shared" ref="T139" si="39">S139*(1+(1*$B$2))</f>
        <v>153548.03587106615</v>
      </c>
      <c r="U139" s="246">
        <f t="shared" ref="U139" si="40">T139*(1+(1*$B$2))</f>
        <v>171206.05999623876</v>
      </c>
      <c r="V139" s="246">
        <f t="shared" ref="V139" si="41">U139*(1+(1*$B$2))</f>
        <v>190894.75689580623</v>
      </c>
      <c r="W139" s="246">
        <f t="shared" ref="W139" si="42">V139*(1+(1*$B$2))</f>
        <v>212847.65393882396</v>
      </c>
      <c r="X139" s="246">
        <f t="shared" ref="X139" si="43">W139*(1+(1*$B$2))</f>
        <v>237325.1341417887</v>
      </c>
      <c r="Y139" s="246">
        <f t="shared" ref="Y139" si="44">X139*(1+(1*$B$2))</f>
        <v>264617.52456809441</v>
      </c>
      <c r="Z139" s="246">
        <f t="shared" ref="Z139" si="45">Y139*(1+(1*$B$2))</f>
        <v>295048.53989342524</v>
      </c>
      <c r="AA139" s="246">
        <f t="shared" ref="AA139" si="46">Z139*(1+(1*$B$2))</f>
        <v>328979.12198116916</v>
      </c>
      <c r="AB139" s="246">
        <f t="shared" ref="AB139" si="47">AA139*(1+(1*$B$2))</f>
        <v>366811.72100900358</v>
      </c>
      <c r="AC139" s="246">
        <f t="shared" ref="AC139" si="48">AB139*(1+(1*$B$2))</f>
        <v>408995.06892503897</v>
      </c>
      <c r="AD139" s="239"/>
    </row>
    <row r="140" spans="1:30" x14ac:dyDescent="0.2">
      <c r="A140" s="247" t="s">
        <v>185</v>
      </c>
      <c r="B140" s="238"/>
      <c r="C140" s="238"/>
      <c r="D140" s="238"/>
      <c r="E140" s="238">
        <f>$B$8*$B$9</f>
        <v>0</v>
      </c>
      <c r="F140" s="238">
        <f t="shared" ref="F140:AC140" si="49">$B$8*$B$9</f>
        <v>0</v>
      </c>
      <c r="G140" s="238">
        <f t="shared" si="49"/>
        <v>0</v>
      </c>
      <c r="H140" s="238">
        <f t="shared" si="49"/>
        <v>0</v>
      </c>
      <c r="I140" s="238">
        <f t="shared" si="49"/>
        <v>0</v>
      </c>
      <c r="J140" s="238">
        <f t="shared" si="49"/>
        <v>0</v>
      </c>
      <c r="K140" s="238">
        <f t="shared" si="49"/>
        <v>0</v>
      </c>
      <c r="L140" s="238">
        <f t="shared" si="49"/>
        <v>0</v>
      </c>
      <c r="M140" s="238">
        <f t="shared" si="49"/>
        <v>0</v>
      </c>
      <c r="N140" s="238">
        <f t="shared" si="49"/>
        <v>0</v>
      </c>
      <c r="O140" s="238">
        <f t="shared" si="49"/>
        <v>0</v>
      </c>
      <c r="P140" s="238">
        <f t="shared" si="49"/>
        <v>0</v>
      </c>
      <c r="Q140" s="238">
        <f t="shared" si="49"/>
        <v>0</v>
      </c>
      <c r="R140" s="238">
        <f t="shared" si="49"/>
        <v>0</v>
      </c>
      <c r="S140" s="238">
        <f t="shared" si="49"/>
        <v>0</v>
      </c>
      <c r="T140" s="238">
        <f t="shared" si="49"/>
        <v>0</v>
      </c>
      <c r="U140" s="238">
        <f t="shared" si="49"/>
        <v>0</v>
      </c>
      <c r="V140" s="238">
        <f t="shared" si="49"/>
        <v>0</v>
      </c>
      <c r="W140" s="238">
        <f t="shared" si="49"/>
        <v>0</v>
      </c>
      <c r="X140" s="238">
        <f t="shared" si="49"/>
        <v>0</v>
      </c>
      <c r="Y140" s="238">
        <f t="shared" si="49"/>
        <v>0</v>
      </c>
      <c r="Z140" s="238">
        <f t="shared" si="49"/>
        <v>0</v>
      </c>
      <c r="AA140" s="238">
        <f t="shared" si="49"/>
        <v>0</v>
      </c>
      <c r="AB140" s="238">
        <f t="shared" si="49"/>
        <v>0</v>
      </c>
      <c r="AC140" s="238">
        <f t="shared" si="49"/>
        <v>0</v>
      </c>
      <c r="AD140" s="239"/>
    </row>
    <row r="141" spans="1:30" x14ac:dyDescent="0.2">
      <c r="A141" s="247"/>
      <c r="B141" s="238"/>
      <c r="C141" s="238"/>
      <c r="D141" s="238"/>
      <c r="E141" s="248"/>
      <c r="F141" s="248"/>
      <c r="G141" s="248"/>
      <c r="H141" s="248"/>
      <c r="I141" s="248"/>
      <c r="J141" s="248"/>
      <c r="K141" s="248"/>
      <c r="L141" s="248"/>
      <c r="M141" s="248"/>
      <c r="N141" s="248"/>
      <c r="O141" s="248"/>
      <c r="P141" s="248"/>
      <c r="Q141" s="248"/>
      <c r="R141" s="248"/>
      <c r="S141" s="248"/>
      <c r="T141" s="248"/>
      <c r="U141" s="248"/>
      <c r="V141" s="248"/>
      <c r="W141" s="248"/>
      <c r="X141" s="248"/>
      <c r="Y141" s="248"/>
      <c r="Z141" s="248"/>
      <c r="AA141" s="248"/>
      <c r="AB141" s="248"/>
      <c r="AC141" s="248"/>
      <c r="AD141" s="239"/>
    </row>
    <row r="142" spans="1:30" x14ac:dyDescent="0.2">
      <c r="A142" s="247" t="s">
        <v>21</v>
      </c>
      <c r="B142" s="238"/>
      <c r="C142" s="238" t="str">
        <f>IF(Input!$E$8="","",Input!$E$8)</f>
        <v>KES</v>
      </c>
      <c r="D142" s="238">
        <f>SUM(D129:D136)</f>
        <v>510000</v>
      </c>
      <c r="E142" s="246">
        <f>E138+E139+E140+SUMIF(E129:E137,"&lt;1E+307")</f>
        <v>98466.666666666657</v>
      </c>
      <c r="F142" s="246">
        <f t="shared" ref="F142:AC142" si="50">F138+F139+F140+SUMIF(F129:F137,"&lt;1E+307")</f>
        <v>104655.33333333333</v>
      </c>
      <c r="G142" s="246">
        <f t="shared" si="50"/>
        <v>319279.67791666667</v>
      </c>
      <c r="H142" s="246">
        <f t="shared" si="50"/>
        <v>118601.56478333334</v>
      </c>
      <c r="I142" s="246">
        <f t="shared" si="50"/>
        <v>609003.51076854172</v>
      </c>
      <c r="J142" s="246">
        <f t="shared" si="50"/>
        <v>423231.62029861199</v>
      </c>
      <c r="K142" s="246">
        <f t="shared" si="50"/>
        <v>144278.34558236995</v>
      </c>
      <c r="L142" s="246">
        <f t="shared" si="50"/>
        <v>154372.94216436552</v>
      </c>
      <c r="M142" s="246">
        <f t="shared" si="50"/>
        <v>564912.93694870151</v>
      </c>
      <c r="N142" s="246">
        <f t="shared" si="50"/>
        <v>1008943.4100696802</v>
      </c>
      <c r="O142" s="246">
        <f t="shared" si="50"/>
        <v>190445.79683590622</v>
      </c>
      <c r="P142" s="246">
        <f t="shared" si="50"/>
        <v>758592.83057631634</v>
      </c>
      <c r="Q142" s="246">
        <f t="shared" si="50"/>
        <v>220386.70353273451</v>
      </c>
      <c r="R142" s="246">
        <f t="shared" si="50"/>
        <v>237509.87399665394</v>
      </c>
      <c r="S142" s="246">
        <f t="shared" si="50"/>
        <v>2457128.5378648466</v>
      </c>
      <c r="T142" s="246">
        <f t="shared" si="50"/>
        <v>276852.63454810635</v>
      </c>
      <c r="U142" s="246">
        <f t="shared" si="50"/>
        <v>299442.84262036061</v>
      </c>
      <c r="V142" s="246">
        <f t="shared" si="50"/>
        <v>1388499.2805190135</v>
      </c>
      <c r="W142" s="246">
        <f t="shared" si="50"/>
        <v>351548.55802507413</v>
      </c>
      <c r="X142" s="246">
        <f t="shared" si="50"/>
        <v>3336469.7654018793</v>
      </c>
      <c r="Y142" s="246">
        <f t="shared" si="50"/>
        <v>1889879.1218949102</v>
      </c>
      <c r="Z142" s="246">
        <f t="shared" si="50"/>
        <v>451068.19366750098</v>
      </c>
      <c r="AA142" s="246">
        <f t="shared" si="50"/>
        <v>491239.56190620793</v>
      </c>
      <c r="AB142" s="246">
        <f t="shared" si="50"/>
        <v>2580537.9231562414</v>
      </c>
      <c r="AC142" s="246">
        <f t="shared" si="50"/>
        <v>4840771.3113612048</v>
      </c>
      <c r="AD142" s="239"/>
    </row>
    <row r="143" spans="1:30" x14ac:dyDescent="0.2">
      <c r="A143" s="247"/>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9"/>
    </row>
    <row r="144" spans="1:30" x14ac:dyDescent="0.2">
      <c r="A144" s="247"/>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9"/>
    </row>
    <row r="145" spans="1:30" x14ac:dyDescent="0.2">
      <c r="A145" s="247" t="s">
        <v>22</v>
      </c>
      <c r="B145" s="238"/>
      <c r="C145" s="238" t="str">
        <f>IF(Input!$E$8="","",Input!$E$8)</f>
        <v>KES</v>
      </c>
      <c r="D145" s="246">
        <f>D14-D150</f>
        <v>-510000</v>
      </c>
      <c r="E145" s="246">
        <f>E14-E150</f>
        <v>-390696.66666666663</v>
      </c>
      <c r="F145" s="246">
        <f>F14-F150</f>
        <v>-255805</v>
      </c>
      <c r="G145" s="246">
        <f t="shared" ref="G145:AC145" si="51">G14-G150</f>
        <v>-311582.97791666666</v>
      </c>
      <c r="H145" s="246">
        <f t="shared" si="51"/>
        <v>-140332.67269999988</v>
      </c>
      <c r="I145" s="246">
        <f t="shared" si="51"/>
        <v>-430499.12646854157</v>
      </c>
      <c r="J145" s="246">
        <f t="shared" si="51"/>
        <v>-503009.98406715319</v>
      </c>
      <c r="K145" s="246">
        <f t="shared" si="51"/>
        <v>-261495.49067952298</v>
      </c>
      <c r="L145" s="246">
        <f t="shared" si="51"/>
        <v>8503.6900231116451</v>
      </c>
      <c r="M145" s="246">
        <f t="shared" si="51"/>
        <v>-89599.91177188931</v>
      </c>
      <c r="N145" s="246">
        <f t="shared" si="51"/>
        <v>-585053.05317249894</v>
      </c>
      <c r="O145" s="246">
        <f t="shared" si="51"/>
        <v>-210659.55447242782</v>
      </c>
      <c r="P145" s="246">
        <f t="shared" si="51"/>
        <v>-347929.1599591691</v>
      </c>
      <c r="Q145" s="246">
        <f t="shared" si="51"/>
        <v>115139.68410662934</v>
      </c>
      <c r="R145" s="246">
        <f t="shared" si="51"/>
        <v>629430.9124683626</v>
      </c>
      <c r="S145" s="246">
        <f t="shared" si="51"/>
        <v>-1000716.4128022594</v>
      </c>
      <c r="T145" s="246">
        <f t="shared" si="51"/>
        <v>-367889.71349671762</v>
      </c>
      <c r="U145" s="246">
        <f t="shared" si="51"/>
        <v>333314.71112193353</v>
      </c>
      <c r="V145" s="246">
        <f t="shared" si="51"/>
        <v>45527.424565833062</v>
      </c>
      <c r="W145" s="246">
        <f t="shared" si="51"/>
        <v>904762.0598999653</v>
      </c>
      <c r="X145" s="246">
        <f t="shared" si="51"/>
        <v>-1099846.1928067878</v>
      </c>
      <c r="Y145" s="246">
        <f t="shared" si="51"/>
        <v>-1524677.6507370602</v>
      </c>
      <c r="Z145" s="246">
        <f t="shared" si="51"/>
        <v>-364193.41404345818</v>
      </c>
      <c r="AA145" s="246">
        <f t="shared" si="51"/>
        <v>917274.69744754769</v>
      </c>
      <c r="AB145" s="246">
        <f t="shared" si="51"/>
        <v>286715.21502824128</v>
      </c>
      <c r="AC145" s="246">
        <f t="shared" si="51"/>
        <v>-2409079.8115223348</v>
      </c>
      <c r="AD145" s="239"/>
    </row>
    <row r="146" spans="1:30" x14ac:dyDescent="0.2">
      <c r="A146" s="247"/>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9"/>
    </row>
    <row r="147" spans="1:30" x14ac:dyDescent="0.2">
      <c r="A147" s="247"/>
      <c r="B147" s="249"/>
      <c r="C147" s="238"/>
      <c r="D147" s="238" t="str">
        <f>IF(D145&gt;0,"Yes","No")</f>
        <v>No</v>
      </c>
      <c r="E147" s="238" t="str">
        <f t="shared" ref="E147:AC147" si="52">IF(E145&gt;0,"Yes","No")</f>
        <v>No</v>
      </c>
      <c r="F147" s="238" t="str">
        <f t="shared" si="52"/>
        <v>No</v>
      </c>
      <c r="G147" s="238" t="str">
        <f t="shared" si="52"/>
        <v>No</v>
      </c>
      <c r="H147" s="238" t="str">
        <f t="shared" si="52"/>
        <v>No</v>
      </c>
      <c r="I147" s="238" t="str">
        <f t="shared" si="52"/>
        <v>No</v>
      </c>
      <c r="J147" s="238" t="str">
        <f t="shared" si="52"/>
        <v>No</v>
      </c>
      <c r="K147" s="238" t="str">
        <f t="shared" si="52"/>
        <v>No</v>
      </c>
      <c r="L147" s="238" t="str">
        <f t="shared" si="52"/>
        <v>Yes</v>
      </c>
      <c r="M147" s="238" t="str">
        <f t="shared" si="52"/>
        <v>No</v>
      </c>
      <c r="N147" s="238" t="str">
        <f t="shared" si="52"/>
        <v>No</v>
      </c>
      <c r="O147" s="238" t="str">
        <f t="shared" si="52"/>
        <v>No</v>
      </c>
      <c r="P147" s="238" t="str">
        <f t="shared" si="52"/>
        <v>No</v>
      </c>
      <c r="Q147" s="238" t="str">
        <f t="shared" si="52"/>
        <v>Yes</v>
      </c>
      <c r="R147" s="238" t="str">
        <f t="shared" si="52"/>
        <v>Yes</v>
      </c>
      <c r="S147" s="238" t="str">
        <f t="shared" si="52"/>
        <v>No</v>
      </c>
      <c r="T147" s="238" t="str">
        <f t="shared" si="52"/>
        <v>No</v>
      </c>
      <c r="U147" s="238" t="str">
        <f t="shared" si="52"/>
        <v>Yes</v>
      </c>
      <c r="V147" s="238" t="str">
        <f>IF(V145&gt;0,"Yes","No")</f>
        <v>Yes</v>
      </c>
      <c r="W147" s="238" t="str">
        <f t="shared" si="52"/>
        <v>Yes</v>
      </c>
      <c r="X147" s="238" t="str">
        <f t="shared" si="52"/>
        <v>No</v>
      </c>
      <c r="Y147" s="238" t="str">
        <f t="shared" si="52"/>
        <v>No</v>
      </c>
      <c r="Z147" s="238" t="str">
        <f t="shared" si="52"/>
        <v>No</v>
      </c>
      <c r="AA147" s="238" t="str">
        <f t="shared" si="52"/>
        <v>Yes</v>
      </c>
      <c r="AB147" s="238" t="str">
        <f t="shared" si="52"/>
        <v>Yes</v>
      </c>
      <c r="AC147" s="238" t="str">
        <f t="shared" si="52"/>
        <v>No</v>
      </c>
      <c r="AD147" s="239"/>
    </row>
    <row r="148" spans="1:30" x14ac:dyDescent="0.2">
      <c r="A148" s="250" t="s">
        <v>118</v>
      </c>
      <c r="B148" s="238" t="str">
        <f>IF(AC145&lt;0,"no payback",COUNTIF(D145:AC145,"&lt;0"))</f>
        <v>no payback</v>
      </c>
      <c r="C148" s="238" t="s">
        <v>117</v>
      </c>
      <c r="D148" s="238"/>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39"/>
    </row>
    <row r="149" spans="1:30" x14ac:dyDescent="0.2">
      <c r="A149" s="249"/>
      <c r="B149" s="246"/>
      <c r="C149" s="249"/>
      <c r="D149" s="238"/>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39"/>
    </row>
    <row r="150" spans="1:30" x14ac:dyDescent="0.2">
      <c r="A150" s="250" t="s">
        <v>29</v>
      </c>
      <c r="B150" s="246">
        <f>IF($A$151=TRUE,AC151,NA())</f>
        <v>23826118.944439229</v>
      </c>
      <c r="C150" s="238" t="str">
        <f>IF(Input!$E$8="","",Input!$E$8)</f>
        <v>KES</v>
      </c>
      <c r="D150" s="246">
        <f>IF($A$151=TRUE,D151,NA())</f>
        <v>510000</v>
      </c>
      <c r="E150" s="246">
        <f t="shared" ref="E150:AB150" si="53">IF($A$151=TRUE,E151,NA())</f>
        <v>608466.66666666663</v>
      </c>
      <c r="F150" s="246">
        <f t="shared" si="53"/>
        <v>713122</v>
      </c>
      <c r="G150" s="246">
        <f t="shared" si="53"/>
        <v>1032401.6779166667</v>
      </c>
      <c r="H150" s="246">
        <f t="shared" si="53"/>
        <v>1151003.2427000001</v>
      </c>
      <c r="I150" s="246">
        <f t="shared" si="53"/>
        <v>1760006.7534685419</v>
      </c>
      <c r="J150" s="246">
        <f t="shared" si="53"/>
        <v>2183238.3737671538</v>
      </c>
      <c r="K150" s="246">
        <f t="shared" si="53"/>
        <v>2327516.719349524</v>
      </c>
      <c r="L150" s="246">
        <f t="shared" si="53"/>
        <v>2481889.6615138897</v>
      </c>
      <c r="M150" s="246">
        <f t="shared" si="53"/>
        <v>3046802.5984625909</v>
      </c>
      <c r="N150" s="246">
        <f t="shared" si="53"/>
        <v>4055746.0085322713</v>
      </c>
      <c r="O150" s="246">
        <f t="shared" si="53"/>
        <v>4246191.8053681776</v>
      </c>
      <c r="P150" s="246">
        <f t="shared" si="53"/>
        <v>5004784.635944494</v>
      </c>
      <c r="Q150" s="246">
        <f t="shared" si="53"/>
        <v>5225171.3394772289</v>
      </c>
      <c r="R150" s="246">
        <f t="shared" si="53"/>
        <v>5462681.2134738825</v>
      </c>
      <c r="S150" s="246">
        <f t="shared" si="53"/>
        <v>7919809.7513387296</v>
      </c>
      <c r="T150" s="246">
        <f t="shared" si="53"/>
        <v>8196662.3858868359</v>
      </c>
      <c r="U150" s="246">
        <f t="shared" si="53"/>
        <v>8496105.2285071965</v>
      </c>
      <c r="V150" s="246">
        <f t="shared" si="53"/>
        <v>9884604.5090262108</v>
      </c>
      <c r="W150" s="246">
        <f t="shared" si="53"/>
        <v>10236153.067051284</v>
      </c>
      <c r="X150" s="246">
        <f t="shared" si="53"/>
        <v>13572622.832453163</v>
      </c>
      <c r="Y150" s="246">
        <f t="shared" si="53"/>
        <v>15462501.954348074</v>
      </c>
      <c r="Z150" s="246">
        <f t="shared" si="53"/>
        <v>15913570.148015575</v>
      </c>
      <c r="AA150" s="246">
        <f t="shared" si="53"/>
        <v>16404809.709921783</v>
      </c>
      <c r="AB150" s="246">
        <f t="shared" si="53"/>
        <v>18985347.633078024</v>
      </c>
      <c r="AC150" s="246">
        <f>IF($A$151=TRUE,AC151,NA())</f>
        <v>23826118.944439229</v>
      </c>
      <c r="AD150" s="239"/>
    </row>
    <row r="151" spans="1:30" x14ac:dyDescent="0.2">
      <c r="A151" s="247" t="b">
        <v>1</v>
      </c>
      <c r="B151" s="238"/>
      <c r="C151" s="238"/>
      <c r="D151" s="246">
        <f>D142</f>
        <v>510000</v>
      </c>
      <c r="E151" s="246">
        <f>SUM($D$142:E142)</f>
        <v>608466.66666666663</v>
      </c>
      <c r="F151" s="246">
        <f>SUM($D$142:F142)</f>
        <v>713122</v>
      </c>
      <c r="G151" s="246">
        <f>SUM($D$142:G142)</f>
        <v>1032401.6779166667</v>
      </c>
      <c r="H151" s="246">
        <f>SUM($D$142:H142)</f>
        <v>1151003.2427000001</v>
      </c>
      <c r="I151" s="246">
        <f>SUM($D$142:I142)</f>
        <v>1760006.7534685419</v>
      </c>
      <c r="J151" s="246">
        <f>SUM($D$142:J142)</f>
        <v>2183238.3737671538</v>
      </c>
      <c r="K151" s="246">
        <f>SUM($D$142:K142)</f>
        <v>2327516.719349524</v>
      </c>
      <c r="L151" s="246">
        <f>SUM($D$142:L142)</f>
        <v>2481889.6615138897</v>
      </c>
      <c r="M151" s="246">
        <f>SUM($D$142:M142)</f>
        <v>3046802.5984625909</v>
      </c>
      <c r="N151" s="246">
        <f>SUM($D$142:N142)</f>
        <v>4055746.0085322713</v>
      </c>
      <c r="O151" s="246">
        <f>SUM($D$142:O142)</f>
        <v>4246191.8053681776</v>
      </c>
      <c r="P151" s="246">
        <f>SUM($D$142:P142)</f>
        <v>5004784.635944494</v>
      </c>
      <c r="Q151" s="246">
        <f>SUM($D$142:Q142)</f>
        <v>5225171.3394772289</v>
      </c>
      <c r="R151" s="246">
        <f>SUM($D$142:R142)</f>
        <v>5462681.2134738825</v>
      </c>
      <c r="S151" s="246">
        <f>SUM($D$142:S142)</f>
        <v>7919809.7513387296</v>
      </c>
      <c r="T151" s="246">
        <f>SUM($D$142:T142)</f>
        <v>8196662.3858868359</v>
      </c>
      <c r="U151" s="246">
        <f>SUM($D$142:U142)</f>
        <v>8496105.2285071965</v>
      </c>
      <c r="V151" s="246">
        <f>SUM($D$142:V142)</f>
        <v>9884604.5090262108</v>
      </c>
      <c r="W151" s="246">
        <f>SUM($D$142:W142)</f>
        <v>10236153.067051284</v>
      </c>
      <c r="X151" s="246">
        <f>SUM($D$142:X142)</f>
        <v>13572622.832453163</v>
      </c>
      <c r="Y151" s="246">
        <f>SUM($D$142:Y142)</f>
        <v>15462501.954348074</v>
      </c>
      <c r="Z151" s="246">
        <f>SUM($D$142:Z142)</f>
        <v>15913570.148015575</v>
      </c>
      <c r="AA151" s="246">
        <f>SUM($D$142:AA142)</f>
        <v>16404809.709921783</v>
      </c>
      <c r="AB151" s="246">
        <f>SUM($D$142:AB142)</f>
        <v>18985347.633078024</v>
      </c>
      <c r="AC151" s="246">
        <f>SUM($D$142:AC142)</f>
        <v>23826118.944439229</v>
      </c>
      <c r="AD151" s="239"/>
    </row>
    <row r="152" spans="1:30" s="249" customFormat="1" x14ac:dyDescent="0.2">
      <c r="A152" s="247" t="s">
        <v>171</v>
      </c>
      <c r="B152" s="238"/>
      <c r="C152" s="238" t="str">
        <f>IF(Input!$E$8="","",Input!$E$8&amp;" /m3")</f>
        <v>KES /m3</v>
      </c>
      <c r="D152" s="251">
        <f>D142/($B$9*365)</f>
        <v>53.740779768177028</v>
      </c>
      <c r="E152" s="251">
        <f t="shared" ref="E152:AC152" si="54">E142/($B$9*365)</f>
        <v>10.375834211450648</v>
      </c>
      <c r="F152" s="251">
        <f t="shared" si="54"/>
        <v>11.027959255356516</v>
      </c>
      <c r="G152" s="251">
        <f t="shared" si="54"/>
        <v>33.643801677204074</v>
      </c>
      <c r="H152" s="251">
        <f t="shared" si="54"/>
        <v>12.497530535651563</v>
      </c>
      <c r="I152" s="251">
        <f t="shared" si="54"/>
        <v>64.173183431880048</v>
      </c>
      <c r="J152" s="251">
        <f t="shared" si="54"/>
        <v>44.59764175960084</v>
      </c>
      <c r="K152" s="251">
        <f t="shared" si="54"/>
        <v>15.203197637762903</v>
      </c>
      <c r="L152" s="251">
        <f t="shared" si="54"/>
        <v>16.266906445138623</v>
      </c>
      <c r="M152" s="251">
        <f t="shared" si="54"/>
        <v>59.527179868145573</v>
      </c>
      <c r="N152" s="251">
        <f t="shared" si="54"/>
        <v>106.31648156687883</v>
      </c>
      <c r="O152" s="251">
        <f t="shared" si="54"/>
        <v>20.068050246143965</v>
      </c>
      <c r="P152" s="251">
        <f t="shared" si="54"/>
        <v>79.936020081803619</v>
      </c>
      <c r="Q152" s="251">
        <f t="shared" si="54"/>
        <v>23.223045683112172</v>
      </c>
      <c r="R152" s="251">
        <f t="shared" si="54"/>
        <v>25.027383982787558</v>
      </c>
      <c r="S152" s="251">
        <f t="shared" si="54"/>
        <v>258.91765414803444</v>
      </c>
      <c r="T152" s="251">
        <f t="shared" si="54"/>
        <v>29.173091100959574</v>
      </c>
      <c r="U152" s="251">
        <f t="shared" si="54"/>
        <v>31.55351344787783</v>
      </c>
      <c r="V152" s="251">
        <f t="shared" si="54"/>
        <v>146.31183145616581</v>
      </c>
      <c r="W152" s="251">
        <f t="shared" si="54"/>
        <v>37.044105165971985</v>
      </c>
      <c r="X152" s="251">
        <f t="shared" si="54"/>
        <v>351.57742522675233</v>
      </c>
      <c r="Y152" s="251">
        <f t="shared" si="54"/>
        <v>199.14426995731404</v>
      </c>
      <c r="Z152" s="251">
        <f t="shared" si="54"/>
        <v>47.530895012381556</v>
      </c>
      <c r="AA152" s="251">
        <f t="shared" si="54"/>
        <v>51.763915901602523</v>
      </c>
      <c r="AB152" s="251">
        <f t="shared" si="54"/>
        <v>271.92180433680102</v>
      </c>
      <c r="AC152" s="251">
        <f t="shared" si="54"/>
        <v>510.09181363131768</v>
      </c>
      <c r="AD152" s="239"/>
    </row>
    <row r="153" spans="1:30" x14ac:dyDescent="0.2">
      <c r="A153" s="247" t="s">
        <v>176</v>
      </c>
      <c r="B153" s="251">
        <f>AVERAGE(D152:AC152)</f>
        <v>96.563665982164338</v>
      </c>
      <c r="C153" s="238" t="str">
        <f>IF(Input!$E$8="","",Input!$E$8&amp;" /m3")</f>
        <v>KES /m3</v>
      </c>
      <c r="D153" s="246"/>
      <c r="E153" s="246"/>
      <c r="F153" s="246"/>
      <c r="G153" s="246"/>
      <c r="H153" s="246"/>
      <c r="I153" s="251">
        <f>AVERAGE(D152:I152)</f>
        <v>30.909848146619979</v>
      </c>
      <c r="J153" s="246"/>
      <c r="K153" s="246"/>
      <c r="L153" s="246"/>
      <c r="M153" s="246"/>
      <c r="N153" s="251">
        <f>AVERAGE(D152:N152)</f>
        <v>38.851863287022425</v>
      </c>
      <c r="O153" s="246"/>
      <c r="P153" s="246"/>
      <c r="Q153" s="246"/>
      <c r="R153" s="246"/>
      <c r="S153" s="246"/>
      <c r="T153" s="246"/>
      <c r="U153" s="246"/>
      <c r="V153" s="246"/>
      <c r="W153" s="246"/>
      <c r="X153" s="246"/>
      <c r="Y153" s="246"/>
      <c r="Z153" s="246"/>
      <c r="AA153" s="246"/>
      <c r="AB153" s="246"/>
      <c r="AC153" s="246"/>
      <c r="AD153" s="239"/>
    </row>
    <row r="154" spans="1:30" ht="13.5" thickBot="1" x14ac:dyDescent="0.25">
      <c r="A154" s="247"/>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9"/>
    </row>
    <row r="155" spans="1:30" ht="15" x14ac:dyDescent="0.25">
      <c r="A155" s="252" t="s">
        <v>23</v>
      </c>
      <c r="B155" s="500">
        <f>Input!E12</f>
        <v>0.16</v>
      </c>
      <c r="C155" s="286">
        <f>NPV(B155,E145:AC145)+D145</f>
        <v>-2192816.4230000097</v>
      </c>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9"/>
    </row>
    <row r="156" spans="1:30" ht="15.75" thickBot="1" x14ac:dyDescent="0.3">
      <c r="A156" s="252" t="s">
        <v>24</v>
      </c>
      <c r="B156" s="501"/>
      <c r="C156" s="198" t="e">
        <f>IRR(D145:AC145)</f>
        <v>#NUM!</v>
      </c>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9"/>
    </row>
    <row r="157" spans="1:30" x14ac:dyDescent="0.2">
      <c r="A157" s="253"/>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54"/>
    </row>
    <row r="161" spans="1:1" x14ac:dyDescent="0.2">
      <c r="A161" s="255"/>
    </row>
    <row r="162" spans="1:1" x14ac:dyDescent="0.2">
      <c r="A162" s="255"/>
    </row>
    <row r="163" spans="1:1" x14ac:dyDescent="0.2">
      <c r="A163" s="255"/>
    </row>
    <row r="164" spans="1:1" x14ac:dyDescent="0.2">
      <c r="A164" s="255"/>
    </row>
    <row r="165" spans="1:1" x14ac:dyDescent="0.2">
      <c r="A165" s="255"/>
    </row>
    <row r="166" spans="1:1" x14ac:dyDescent="0.2">
      <c r="A166" s="255"/>
    </row>
    <row r="167" spans="1:1" x14ac:dyDescent="0.2">
      <c r="A167" s="255"/>
    </row>
    <row r="181" spans="5:24" x14ac:dyDescent="0.2">
      <c r="F181" s="502" t="s">
        <v>74</v>
      </c>
      <c r="G181" s="502"/>
      <c r="H181" s="502"/>
    </row>
    <row r="185" spans="5:24" x14ac:dyDescent="0.2">
      <c r="E185" s="154" t="str">
        <f>Output!B23</f>
        <v>Net Present Value (NPV) over 25 years</v>
      </c>
      <c r="H185" s="154" t="str">
        <f>Output!B21</f>
        <v>Internal Rate of Return (IRR 25 Years)</v>
      </c>
      <c r="K185" s="154" t="str">
        <f>Output!B27</f>
        <v>System Life Cycle Costs (25 years)</v>
      </c>
      <c r="N185" s="154" t="str">
        <f>Output!B29</f>
        <v>Years for Payback</v>
      </c>
      <c r="R185" s="154" t="s">
        <v>124</v>
      </c>
      <c r="U185" s="154" t="s">
        <v>177</v>
      </c>
      <c r="V185" s="154" t="s">
        <v>180</v>
      </c>
      <c r="W185" s="154" t="s">
        <v>179</v>
      </c>
      <c r="X185" s="154" t="s">
        <v>178</v>
      </c>
    </row>
    <row r="187" spans="5:24" x14ac:dyDescent="0.2">
      <c r="E187" s="154" t="str">
        <f>Input!D30</f>
        <v>Solar powered irrigation system</v>
      </c>
      <c r="F187" s="256">
        <f>C51</f>
        <v>4393862.8951089829</v>
      </c>
      <c r="H187" s="154" t="str">
        <f>Input!D30</f>
        <v>Solar powered irrigation system</v>
      </c>
      <c r="I187" s="257">
        <f>C52</f>
        <v>0.28448383211560913</v>
      </c>
      <c r="K187" s="154" t="str">
        <f>Input!D30</f>
        <v>Solar powered irrigation system</v>
      </c>
      <c r="L187" s="256">
        <f>B46</f>
        <v>13972825.419210888</v>
      </c>
      <c r="N187" s="154" t="str">
        <f>Input!D30</f>
        <v>Solar powered irrigation system</v>
      </c>
      <c r="O187" s="256">
        <f>B44</f>
        <v>4</v>
      </c>
      <c r="R187" s="154" t="str">
        <f>Input!D30</f>
        <v>Solar powered irrigation system</v>
      </c>
      <c r="S187" s="139">
        <f>AC41</f>
        <v>7444213.7137060054</v>
      </c>
      <c r="U187" s="154" t="str">
        <f>Input!D30</f>
        <v>Solar powered irrigation system</v>
      </c>
      <c r="V187" s="281">
        <f>IF($A$47=TRUE,I49,NA())</f>
        <v>19.779472789924153</v>
      </c>
      <c r="W187" s="281">
        <f>IF($A$47=TRUE,N49,NA())</f>
        <v>19.784251951997945</v>
      </c>
      <c r="X187" s="281">
        <f>IF($A$47=TRUE,B49,NA())</f>
        <v>56.629753664630321</v>
      </c>
    </row>
    <row r="188" spans="5:24" x14ac:dyDescent="0.2">
      <c r="E188" s="154" t="str">
        <f>Input!D60</f>
        <v>Grid powered irrigation system</v>
      </c>
      <c r="F188" s="256">
        <f>C89</f>
        <v>7815722.2998419944</v>
      </c>
      <c r="H188" s="154" t="str">
        <f>Input!D60</f>
        <v>Grid powered irrigation system</v>
      </c>
      <c r="I188" s="232">
        <f>C90</f>
        <v>0.59027149588255101</v>
      </c>
      <c r="K188" s="154" t="str">
        <f>Input!D60</f>
        <v>Grid powered irrigation system</v>
      </c>
      <c r="L188" s="256">
        <f>B84</f>
        <v>11910910.145731017</v>
      </c>
      <c r="N188" s="154" t="str">
        <f>Input!D60</f>
        <v>Grid powered irrigation system</v>
      </c>
      <c r="O188" s="256">
        <f>B82</f>
        <v>2</v>
      </c>
      <c r="R188" s="154" t="str">
        <f>Input!D60</f>
        <v>Grid powered irrigation system</v>
      </c>
      <c r="S188" s="139">
        <f>AC79</f>
        <v>9506128.9871858768</v>
      </c>
      <c r="U188" s="154" t="str">
        <f>Input!D60</f>
        <v>Grid powered irrigation system</v>
      </c>
      <c r="V188" s="281">
        <f>IF($A$85=TRUE,I87,NA())</f>
        <v>16.561970560041626</v>
      </c>
      <c r="W188" s="281">
        <f>IF($A$85=TRUE,N87,NA())</f>
        <v>18.631795210896932</v>
      </c>
      <c r="X188" s="281">
        <f>IF($A$85=TRUE,B87,NA())</f>
        <v>48.273122095043433</v>
      </c>
    </row>
    <row r="189" spans="5:24" x14ac:dyDescent="0.2">
      <c r="E189" s="154" t="str">
        <f>Input!D92</f>
        <v>Diesel powered irrigation system</v>
      </c>
      <c r="F189" s="229">
        <f>C155</f>
        <v>-2192816.4230000097</v>
      </c>
      <c r="H189" s="154" t="str">
        <f>Input!D92</f>
        <v>Diesel powered irrigation system</v>
      </c>
      <c r="I189" s="232" t="e">
        <f>C156</f>
        <v>#NUM!</v>
      </c>
      <c r="K189" s="154" t="str">
        <f>Input!D92</f>
        <v>Diesel powered irrigation system</v>
      </c>
      <c r="L189" s="229">
        <f>B150</f>
        <v>23826118.944439229</v>
      </c>
      <c r="N189" s="154" t="str">
        <f>Input!D92</f>
        <v>Diesel powered irrigation system</v>
      </c>
      <c r="O189" s="229" t="str">
        <f>B148</f>
        <v>no payback</v>
      </c>
      <c r="R189" s="154" t="str">
        <f>Input!D92</f>
        <v>Diesel powered irrigation system</v>
      </c>
      <c r="S189" s="139">
        <f>AC145</f>
        <v>-2409079.8115223348</v>
      </c>
      <c r="U189" s="154" t="str">
        <f>Input!D92</f>
        <v>Diesel powered irrigation system</v>
      </c>
      <c r="V189" s="281">
        <f>IF($A$151=TRUE,I153,NA())</f>
        <v>30.909848146619979</v>
      </c>
      <c r="W189" s="281">
        <f>IF($A$151=TRUE,N153,NA())</f>
        <v>38.851863287022425</v>
      </c>
      <c r="X189" s="281">
        <f>IF($A$151=TRUE,B153,NA())</f>
        <v>96.563665982164338</v>
      </c>
    </row>
    <row r="190" spans="5:24" ht="14.25" x14ac:dyDescent="0.2">
      <c r="E190" s="258" t="str">
        <f>" " &amp; Input!E8</f>
        <v xml:space="preserve"> KES</v>
      </c>
      <c r="F190" s="259"/>
      <c r="H190" s="154" t="s">
        <v>16</v>
      </c>
      <c r="K190" s="154" t="str">
        <f>" " &amp; Input!E8</f>
        <v xml:space="preserve"> KES</v>
      </c>
      <c r="N190" s="154" t="s">
        <v>72</v>
      </c>
      <c r="O190" s="256"/>
      <c r="S190" s="154" t="str">
        <f>" " &amp; Input!E8</f>
        <v xml:space="preserve"> KES</v>
      </c>
      <c r="V190" s="154" t="str">
        <f>" " &amp; Input!E8</f>
        <v xml:space="preserve"> KES</v>
      </c>
    </row>
    <row r="191" spans="5:24" x14ac:dyDescent="0.2">
      <c r="E191" s="154" t="str">
        <f>"Comparative accumulated income and system costs over first 10 years in " &amp; E190</f>
        <v>Comparative accumulated income and system costs over first 10 years in  KES</v>
      </c>
      <c r="F191" s="259"/>
      <c r="O191" s="256"/>
    </row>
    <row r="192" spans="5:24" x14ac:dyDescent="0.2">
      <c r="E192" s="154" t="str">
        <f>"Comparative accumulated income and system costs over first 25 years in " &amp; E190</f>
        <v>Comparative accumulated income and system costs over first 25 years in  KES</v>
      </c>
    </row>
    <row r="193" spans="5:10" x14ac:dyDescent="0.2">
      <c r="E193" s="154" t="str">
        <f>"Comparative accumulated cash flow over first 10 years in " &amp; E190</f>
        <v>Comparative accumulated cash flow over first 10 years in  KES</v>
      </c>
    </row>
    <row r="194" spans="5:10" x14ac:dyDescent="0.2">
      <c r="E194" s="154" t="str">
        <f>"Average annual water cost in " &amp; E190 &amp;" /m³"</f>
        <v>Average annual water cost in  KES /m³</v>
      </c>
    </row>
    <row r="195" spans="5:10" x14ac:dyDescent="0.2">
      <c r="J195" s="154" t="s">
        <v>76</v>
      </c>
    </row>
    <row r="196" spans="5:10" x14ac:dyDescent="0.2">
      <c r="E196" s="154" t="str">
        <f>Input!D30</f>
        <v>Solar powered irrigation system</v>
      </c>
      <c r="J196" s="154" t="str">
        <f>Input!E8 &amp; "/kWh"</f>
        <v>KES/kWh</v>
      </c>
    </row>
    <row r="197" spans="5:10" x14ac:dyDescent="0.2">
      <c r="E197" s="154" t="str">
        <f>Input!D60</f>
        <v>Grid powered irrigation system</v>
      </c>
      <c r="J197" s="154" t="str">
        <f>Input!E8 &amp; "/l"</f>
        <v>KES/l</v>
      </c>
    </row>
  </sheetData>
  <sheetProtection selectLockedCells="1" selectUnlockedCells="1"/>
  <mergeCells count="8">
    <mergeCell ref="B51:B52"/>
    <mergeCell ref="B89:B90"/>
    <mergeCell ref="N97:O97"/>
    <mergeCell ref="P97:Q97"/>
    <mergeCell ref="N98:O98"/>
    <mergeCell ref="P98:Q98"/>
    <mergeCell ref="B155:B156"/>
    <mergeCell ref="F181:H18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505" t="s">
        <v>75</v>
      </c>
      <c r="B1" s="505"/>
      <c r="C1" s="505"/>
      <c r="D1" s="505"/>
      <c r="E1" s="505"/>
      <c r="F1" s="506" t="str">
        <f>Input!D30</f>
        <v>Solar powered irrigation system</v>
      </c>
      <c r="G1" s="506"/>
      <c r="H1" s="506"/>
      <c r="I1" s="506"/>
      <c r="J1" s="506"/>
    </row>
    <row r="2" spans="1:11" ht="12.75" customHeight="1" x14ac:dyDescent="0.2">
      <c r="A2" s="5" t="s">
        <v>33</v>
      </c>
      <c r="B2" s="6">
        <f>Input!E56</f>
        <v>0</v>
      </c>
      <c r="C2" s="7"/>
      <c r="D2" s="7"/>
      <c r="E2" s="7"/>
      <c r="F2" s="7"/>
      <c r="G2" s="7"/>
      <c r="H2" s="7"/>
      <c r="I2" s="7"/>
      <c r="J2" s="7"/>
    </row>
    <row r="3" spans="1:11" ht="14.25" customHeight="1" x14ac:dyDescent="0.2">
      <c r="A3" s="10"/>
      <c r="B3" s="507" t="s">
        <v>34</v>
      </c>
      <c r="C3" s="507"/>
      <c r="D3" s="507"/>
      <c r="E3" s="10"/>
      <c r="F3" s="507" t="s">
        <v>35</v>
      </c>
      <c r="G3" s="507"/>
      <c r="H3" s="507"/>
      <c r="I3" s="83"/>
      <c r="J3" s="10"/>
      <c r="K3" s="11"/>
    </row>
    <row r="4" spans="1:11" x14ac:dyDescent="0.2">
      <c r="A4" s="10"/>
      <c r="B4" s="10"/>
      <c r="C4" s="12" t="s">
        <v>36</v>
      </c>
      <c r="D4" s="13">
        <f>Input!E53</f>
        <v>0</v>
      </c>
      <c r="E4" s="14"/>
      <c r="F4" s="10"/>
      <c r="G4" s="12" t="s">
        <v>37</v>
      </c>
      <c r="H4" s="13" t="str">
        <f>IF(Values_Entered,-PMT(Interest_Rate/Num_Pmt_Per_Year,Loan_Years*Num_Pmt_Per_Year,Loan_Amount),"0")</f>
        <v>0</v>
      </c>
      <c r="I4" s="15"/>
      <c r="J4" s="145"/>
      <c r="K4" s="11"/>
    </row>
    <row r="5" spans="1:11" x14ac:dyDescent="0.2">
      <c r="A5" s="10"/>
      <c r="B5" s="10"/>
      <c r="C5" s="12" t="s">
        <v>38</v>
      </c>
      <c r="D5" s="16">
        <f>Input!E54</f>
        <v>0</v>
      </c>
      <c r="E5" s="17"/>
      <c r="F5" s="10"/>
      <c r="G5" s="12" t="s">
        <v>39</v>
      </c>
      <c r="H5" s="38" t="str">
        <f>IF(Values_Entered,Loan_Years*Num_Pmt_Per_Year,"")</f>
        <v/>
      </c>
      <c r="I5" s="18"/>
      <c r="J5" s="19"/>
      <c r="K5" s="11"/>
    </row>
    <row r="6" spans="1:11" x14ac:dyDescent="0.2">
      <c r="A6" s="10"/>
      <c r="B6" s="10"/>
      <c r="C6" s="12" t="s">
        <v>40</v>
      </c>
      <c r="D6" s="18">
        <f>Input!E55</f>
        <v>0</v>
      </c>
      <c r="E6" s="17"/>
      <c r="F6" s="10"/>
      <c r="G6" s="12" t="s">
        <v>41</v>
      </c>
      <c r="H6" s="38" t="str">
        <f>IF(Values_Entered,Number_of_Payments,"")</f>
        <v/>
      </c>
      <c r="I6" s="18"/>
      <c r="J6" s="19"/>
      <c r="K6" s="11"/>
    </row>
    <row r="7" spans="1:11" x14ac:dyDescent="0.2">
      <c r="A7" s="10"/>
      <c r="B7" s="10"/>
      <c r="C7" s="12" t="s">
        <v>42</v>
      </c>
      <c r="D7" s="18">
        <v>1</v>
      </c>
      <c r="E7" s="17"/>
      <c r="F7" s="10"/>
      <c r="G7" s="12" t="s">
        <v>43</v>
      </c>
      <c r="H7" s="84" t="str">
        <f>IF(Values_Entered,SUMIF(Beg_Bal,"&gt;0",Extra_Pay),"")</f>
        <v/>
      </c>
      <c r="I7" s="15"/>
      <c r="J7" s="19"/>
      <c r="K7" s="11"/>
    </row>
    <row r="8" spans="1:11" x14ac:dyDescent="0.2">
      <c r="A8" s="10"/>
      <c r="B8" s="10"/>
      <c r="C8" s="12" t="s">
        <v>44</v>
      </c>
      <c r="D8" s="20">
        <v>42736</v>
      </c>
      <c r="E8" s="21"/>
      <c r="F8" s="10"/>
      <c r="G8" s="12" t="s">
        <v>45</v>
      </c>
      <c r="H8" s="84" t="str">
        <f>IF(Values_Entered,SUMIF(Beg_Bal,"&gt;0",Int),"")</f>
        <v/>
      </c>
      <c r="I8" s="15"/>
      <c r="J8" s="145"/>
      <c r="K8" s="11"/>
    </row>
    <row r="9" spans="1:11" x14ac:dyDescent="0.2">
      <c r="A9" s="10"/>
      <c r="B9" s="10"/>
      <c r="C9" s="12" t="s">
        <v>46</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47</v>
      </c>
      <c r="B12" s="23" t="s">
        <v>48</v>
      </c>
      <c r="C12" s="23" t="s">
        <v>49</v>
      </c>
      <c r="D12" s="23" t="s">
        <v>37</v>
      </c>
      <c r="E12" s="23" t="s">
        <v>50</v>
      </c>
      <c r="F12" s="23" t="s">
        <v>51</v>
      </c>
      <c r="G12" s="23" t="s">
        <v>52</v>
      </c>
      <c r="H12" s="23" t="s">
        <v>53</v>
      </c>
      <c r="I12" s="23" t="s">
        <v>54</v>
      </c>
      <c r="J12" s="23" t="s">
        <v>55</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51" customFormat="1" x14ac:dyDescent="0.2">
      <c r="A19" s="146" t="str">
        <f>IF(Values_Entered,A18+1,"")</f>
        <v/>
      </c>
      <c r="B19" s="147" t="str">
        <f t="shared" si="0"/>
        <v/>
      </c>
      <c r="C19" s="148" t="str">
        <f t="shared" si="4"/>
        <v/>
      </c>
      <c r="D19" s="148" t="str">
        <f t="shared" si="7"/>
        <v/>
      </c>
      <c r="E19" s="149" t="e">
        <f t="shared" si="1"/>
        <v>#VALUE!</v>
      </c>
      <c r="F19" s="148" t="e">
        <f t="shared" si="2"/>
        <v>#VALUE!</v>
      </c>
      <c r="G19" s="148" t="str">
        <f t="shared" si="5"/>
        <v/>
      </c>
      <c r="H19" s="148" t="str">
        <f t="shared" si="6"/>
        <v/>
      </c>
      <c r="I19" s="148" t="e">
        <f t="shared" si="3"/>
        <v>#VALUE!</v>
      </c>
      <c r="J19" s="148">
        <f>SUM($H$14:$H19)</f>
        <v>0</v>
      </c>
      <c r="K19" s="150"/>
      <c r="L19" s="150"/>
    </row>
    <row r="20" spans="1:12" s="151" customFormat="1" x14ac:dyDescent="0.2">
      <c r="A20" s="146" t="str">
        <f>IF(Values_Entered,A19+1,"")</f>
        <v/>
      </c>
      <c r="B20" s="147" t="str">
        <f t="shared" si="0"/>
        <v/>
      </c>
      <c r="C20" s="148" t="str">
        <f t="shared" si="4"/>
        <v/>
      </c>
      <c r="D20" s="148" t="str">
        <f t="shared" si="7"/>
        <v/>
      </c>
      <c r="E20" s="149" t="e">
        <f t="shared" si="1"/>
        <v>#VALUE!</v>
      </c>
      <c r="F20" s="148" t="e">
        <f t="shared" si="2"/>
        <v>#VALUE!</v>
      </c>
      <c r="G20" s="148" t="str">
        <f t="shared" si="5"/>
        <v/>
      </c>
      <c r="H20" s="148" t="str">
        <f t="shared" si="6"/>
        <v/>
      </c>
      <c r="I20" s="148" t="e">
        <f t="shared" si="3"/>
        <v>#VALUE!</v>
      </c>
      <c r="J20" s="148">
        <f>SUM($H$14:$H20)</f>
        <v>0</v>
      </c>
      <c r="K20" s="150"/>
      <c r="L20" s="150"/>
    </row>
    <row r="21" spans="1:12" s="151" customFormat="1" x14ac:dyDescent="0.2">
      <c r="A21" s="146" t="str">
        <f>IF(Values_Entered,A20+1,"")</f>
        <v/>
      </c>
      <c r="B21" s="147" t="str">
        <f t="shared" si="0"/>
        <v/>
      </c>
      <c r="C21" s="148" t="str">
        <f t="shared" si="4"/>
        <v/>
      </c>
      <c r="D21" s="148" t="str">
        <f t="shared" si="7"/>
        <v/>
      </c>
      <c r="E21" s="149" t="e">
        <f t="shared" si="1"/>
        <v>#VALUE!</v>
      </c>
      <c r="F21" s="148" t="e">
        <f t="shared" si="2"/>
        <v>#VALUE!</v>
      </c>
      <c r="G21" s="148" t="str">
        <f t="shared" si="5"/>
        <v/>
      </c>
      <c r="H21" s="148" t="str">
        <f t="shared" si="6"/>
        <v/>
      </c>
      <c r="I21" s="148" t="e">
        <f t="shared" si="3"/>
        <v>#VALUE!</v>
      </c>
      <c r="J21" s="148">
        <f>SUM($H$14:$H21)</f>
        <v>0</v>
      </c>
      <c r="K21" s="150"/>
      <c r="L21" s="150"/>
    </row>
    <row r="22" spans="1:12" s="151" customFormat="1" x14ac:dyDescent="0.2">
      <c r="A22" s="146" t="str">
        <f>IF(Values_Entered,A21+1,"")</f>
        <v/>
      </c>
      <c r="B22" s="147" t="str">
        <f t="shared" si="0"/>
        <v/>
      </c>
      <c r="C22" s="148" t="str">
        <f t="shared" si="4"/>
        <v/>
      </c>
      <c r="D22" s="148" t="str">
        <f t="shared" si="7"/>
        <v/>
      </c>
      <c r="E22" s="149" t="e">
        <f t="shared" si="1"/>
        <v>#VALUE!</v>
      </c>
      <c r="F22" s="148" t="e">
        <f t="shared" si="2"/>
        <v>#VALUE!</v>
      </c>
      <c r="G22" s="148" t="str">
        <f t="shared" si="5"/>
        <v/>
      </c>
      <c r="H22" s="148" t="str">
        <f t="shared" si="6"/>
        <v/>
      </c>
      <c r="I22" s="148" t="e">
        <f t="shared" si="3"/>
        <v>#VALUE!</v>
      </c>
      <c r="J22" s="148">
        <f>SUM($H$14:$H22)</f>
        <v>0</v>
      </c>
      <c r="K22" s="150"/>
      <c r="L22" s="150"/>
    </row>
    <row r="23" spans="1:12" s="151" customFormat="1" x14ac:dyDescent="0.2">
      <c r="A23" s="146" t="str">
        <f>IF(Values_Entered,A22+1,"")</f>
        <v/>
      </c>
      <c r="B23" s="147" t="str">
        <f t="shared" si="0"/>
        <v/>
      </c>
      <c r="C23" s="148" t="str">
        <f t="shared" si="4"/>
        <v/>
      </c>
      <c r="D23" s="148" t="str">
        <f t="shared" si="7"/>
        <v/>
      </c>
      <c r="E23" s="149" t="e">
        <f t="shared" si="1"/>
        <v>#VALUE!</v>
      </c>
      <c r="F23" s="148" t="e">
        <f t="shared" si="2"/>
        <v>#VALUE!</v>
      </c>
      <c r="G23" s="148" t="str">
        <f t="shared" si="5"/>
        <v/>
      </c>
      <c r="H23" s="148" t="str">
        <f t="shared" si="6"/>
        <v/>
      </c>
      <c r="I23" s="148" t="e">
        <f t="shared" si="3"/>
        <v>#VALUE!</v>
      </c>
      <c r="J23" s="148">
        <f>SUM($H$14:$H23)</f>
        <v>0</v>
      </c>
      <c r="K23" s="150"/>
      <c r="L23" s="150"/>
    </row>
    <row r="24" spans="1:12" s="151" customFormat="1" x14ac:dyDescent="0.2">
      <c r="A24" s="146" t="str">
        <f>IF(Values_Entered,A23+1,"")</f>
        <v/>
      </c>
      <c r="B24" s="147" t="str">
        <f t="shared" si="0"/>
        <v/>
      </c>
      <c r="C24" s="148" t="str">
        <f t="shared" si="4"/>
        <v/>
      </c>
      <c r="D24" s="148" t="str">
        <f t="shared" si="7"/>
        <v/>
      </c>
      <c r="E24" s="149" t="e">
        <f t="shared" si="1"/>
        <v>#VALUE!</v>
      </c>
      <c r="F24" s="148" t="e">
        <f t="shared" si="2"/>
        <v>#VALUE!</v>
      </c>
      <c r="G24" s="148" t="str">
        <f t="shared" si="5"/>
        <v/>
      </c>
      <c r="H24" s="148" t="str">
        <f t="shared" si="6"/>
        <v/>
      </c>
      <c r="I24" s="148" t="e">
        <f t="shared" si="3"/>
        <v>#VALUE!</v>
      </c>
      <c r="J24" s="148">
        <f>SUM($H$14:$H24)</f>
        <v>0</v>
      </c>
      <c r="K24" s="150"/>
      <c r="L24" s="150"/>
    </row>
    <row r="25" spans="1:12" s="151" customFormat="1" x14ac:dyDescent="0.2">
      <c r="A25" s="146" t="str">
        <f>IF(Values_Entered,A24+1,"")</f>
        <v/>
      </c>
      <c r="B25" s="147" t="str">
        <f t="shared" si="0"/>
        <v/>
      </c>
      <c r="C25" s="148" t="str">
        <f t="shared" si="4"/>
        <v/>
      </c>
      <c r="D25" s="148" t="str">
        <f t="shared" si="7"/>
        <v/>
      </c>
      <c r="E25" s="149" t="e">
        <f t="shared" si="1"/>
        <v>#VALUE!</v>
      </c>
      <c r="F25" s="148" t="e">
        <f t="shared" si="2"/>
        <v>#VALUE!</v>
      </c>
      <c r="G25" s="148" t="str">
        <f t="shared" si="5"/>
        <v/>
      </c>
      <c r="H25" s="148" t="str">
        <f t="shared" si="6"/>
        <v/>
      </c>
      <c r="I25" s="148" t="e">
        <f t="shared" si="3"/>
        <v>#VALUE!</v>
      </c>
      <c r="J25" s="148">
        <f>SUM($H$14:$H25)</f>
        <v>0</v>
      </c>
      <c r="K25" s="150"/>
      <c r="L25" s="150"/>
    </row>
    <row r="26" spans="1:12" s="151" customFormat="1" x14ac:dyDescent="0.2">
      <c r="A26" s="146" t="str">
        <f>IF(Values_Entered,A25+1,"")</f>
        <v/>
      </c>
      <c r="B26" s="147" t="str">
        <f t="shared" si="0"/>
        <v/>
      </c>
      <c r="C26" s="148" t="str">
        <f t="shared" si="4"/>
        <v/>
      </c>
      <c r="D26" s="148" t="str">
        <f t="shared" si="7"/>
        <v/>
      </c>
      <c r="E26" s="149" t="e">
        <f t="shared" si="1"/>
        <v>#VALUE!</v>
      </c>
      <c r="F26" s="148" t="e">
        <f t="shared" si="2"/>
        <v>#VALUE!</v>
      </c>
      <c r="G26" s="148" t="str">
        <f t="shared" si="5"/>
        <v/>
      </c>
      <c r="H26" s="148" t="str">
        <f t="shared" si="6"/>
        <v/>
      </c>
      <c r="I26" s="148" t="e">
        <f t="shared" si="3"/>
        <v>#VALUE!</v>
      </c>
      <c r="J26" s="148">
        <f>SUM($H$14:$H26)</f>
        <v>0</v>
      </c>
      <c r="K26" s="150"/>
      <c r="L26" s="150"/>
    </row>
    <row r="27" spans="1:12" s="151" customFormat="1" x14ac:dyDescent="0.2">
      <c r="A27" s="146" t="str">
        <f>IF(Values_Entered,A26+1,"")</f>
        <v/>
      </c>
      <c r="B27" s="147" t="str">
        <f t="shared" si="0"/>
        <v/>
      </c>
      <c r="C27" s="148" t="str">
        <f t="shared" si="4"/>
        <v/>
      </c>
      <c r="D27" s="148" t="str">
        <f t="shared" si="7"/>
        <v/>
      </c>
      <c r="E27" s="149" t="e">
        <f t="shared" si="1"/>
        <v>#VALUE!</v>
      </c>
      <c r="F27" s="148" t="e">
        <f t="shared" si="2"/>
        <v>#VALUE!</v>
      </c>
      <c r="G27" s="148" t="str">
        <f t="shared" si="5"/>
        <v/>
      </c>
      <c r="H27" s="148" t="str">
        <f t="shared" si="6"/>
        <v/>
      </c>
      <c r="I27" s="148" t="e">
        <f t="shared" si="3"/>
        <v>#VALUE!</v>
      </c>
      <c r="J27" s="148">
        <f>SUM($H$14:$H27)</f>
        <v>0</v>
      </c>
      <c r="K27" s="150"/>
      <c r="L27" s="150"/>
    </row>
    <row r="28" spans="1:12" s="151" customFormat="1" x14ac:dyDescent="0.2">
      <c r="A28" s="146" t="str">
        <f>IF(Values_Entered,A27+1,"")</f>
        <v/>
      </c>
      <c r="B28" s="147" t="str">
        <f t="shared" si="0"/>
        <v/>
      </c>
      <c r="C28" s="148" t="str">
        <f t="shared" si="4"/>
        <v/>
      </c>
      <c r="D28" s="148" t="str">
        <f t="shared" si="7"/>
        <v/>
      </c>
      <c r="E28" s="149" t="e">
        <f t="shared" si="1"/>
        <v>#VALUE!</v>
      </c>
      <c r="F28" s="148" t="e">
        <f t="shared" si="2"/>
        <v>#VALUE!</v>
      </c>
      <c r="G28" s="148" t="str">
        <f t="shared" si="5"/>
        <v/>
      </c>
      <c r="H28" s="148" t="str">
        <f t="shared" si="6"/>
        <v/>
      </c>
      <c r="I28" s="148" t="e">
        <f t="shared" si="3"/>
        <v>#VALUE!</v>
      </c>
      <c r="J28" s="148">
        <f>SUM($H$14:$H28)</f>
        <v>0</v>
      </c>
      <c r="K28" s="150"/>
      <c r="L28" s="150"/>
    </row>
    <row r="29" spans="1:12" s="151" customFormat="1" x14ac:dyDescent="0.2">
      <c r="A29" s="146" t="str">
        <f>IF(Values_Entered,A28+1,"")</f>
        <v/>
      </c>
      <c r="B29" s="147" t="str">
        <f t="shared" si="0"/>
        <v/>
      </c>
      <c r="C29" s="148" t="str">
        <f t="shared" si="4"/>
        <v/>
      </c>
      <c r="D29" s="148" t="str">
        <f t="shared" si="7"/>
        <v/>
      </c>
      <c r="E29" s="149" t="e">
        <f t="shared" si="1"/>
        <v>#VALUE!</v>
      </c>
      <c r="F29" s="148" t="e">
        <f t="shared" si="2"/>
        <v>#VALUE!</v>
      </c>
      <c r="G29" s="148" t="str">
        <f t="shared" si="5"/>
        <v/>
      </c>
      <c r="H29" s="148" t="str">
        <f t="shared" si="6"/>
        <v/>
      </c>
      <c r="I29" s="148" t="e">
        <f t="shared" si="3"/>
        <v>#VALUE!</v>
      </c>
      <c r="J29" s="148">
        <f>SUM($H$14:$H29)</f>
        <v>0</v>
      </c>
      <c r="K29" s="150"/>
      <c r="L29" s="150"/>
    </row>
    <row r="30" spans="1:12" s="151" customFormat="1" x14ac:dyDescent="0.2">
      <c r="A30" s="146" t="str">
        <f>IF(Values_Entered,A29+1,"")</f>
        <v/>
      </c>
      <c r="B30" s="147" t="str">
        <f t="shared" si="0"/>
        <v/>
      </c>
      <c r="C30" s="148" t="str">
        <f t="shared" si="4"/>
        <v/>
      </c>
      <c r="D30" s="148" t="str">
        <f t="shared" si="7"/>
        <v/>
      </c>
      <c r="E30" s="149" t="e">
        <f t="shared" si="1"/>
        <v>#VALUE!</v>
      </c>
      <c r="F30" s="148" t="e">
        <f t="shared" si="2"/>
        <v>#VALUE!</v>
      </c>
      <c r="G30" s="148" t="str">
        <f t="shared" si="5"/>
        <v/>
      </c>
      <c r="H30" s="148" t="str">
        <f t="shared" si="6"/>
        <v/>
      </c>
      <c r="I30" s="148" t="e">
        <f t="shared" si="3"/>
        <v>#VALUE!</v>
      </c>
      <c r="J30" s="148">
        <f>SUM($H$14:$H30)</f>
        <v>0</v>
      </c>
      <c r="K30" s="150"/>
      <c r="L30" s="150"/>
    </row>
    <row r="31" spans="1:12" s="151" customFormat="1" x14ac:dyDescent="0.2">
      <c r="A31" s="146" t="str">
        <f>IF(Values_Entered,A30+1,"")</f>
        <v/>
      </c>
      <c r="B31" s="147" t="str">
        <f t="shared" si="0"/>
        <v/>
      </c>
      <c r="C31" s="148" t="str">
        <f t="shared" si="4"/>
        <v/>
      </c>
      <c r="D31" s="148" t="str">
        <f t="shared" si="7"/>
        <v/>
      </c>
      <c r="E31" s="149" t="e">
        <f t="shared" si="1"/>
        <v>#VALUE!</v>
      </c>
      <c r="F31" s="148" t="e">
        <f t="shared" si="2"/>
        <v>#VALUE!</v>
      </c>
      <c r="G31" s="148" t="str">
        <f t="shared" si="5"/>
        <v/>
      </c>
      <c r="H31" s="148" t="str">
        <f t="shared" si="6"/>
        <v/>
      </c>
      <c r="I31" s="148" t="e">
        <f t="shared" si="3"/>
        <v>#VALUE!</v>
      </c>
      <c r="J31" s="148">
        <f>SUM($H$14:$H31)</f>
        <v>0</v>
      </c>
      <c r="K31" s="150"/>
      <c r="L31" s="150"/>
    </row>
    <row r="32" spans="1:12" s="151" customFormat="1" x14ac:dyDescent="0.2">
      <c r="A32" s="146" t="str">
        <f>IF(Values_Entered,A31+1,"")</f>
        <v/>
      </c>
      <c r="B32" s="147" t="str">
        <f t="shared" si="0"/>
        <v/>
      </c>
      <c r="C32" s="148" t="str">
        <f t="shared" si="4"/>
        <v/>
      </c>
      <c r="D32" s="148" t="str">
        <f t="shared" si="7"/>
        <v/>
      </c>
      <c r="E32" s="149" t="e">
        <f t="shared" si="1"/>
        <v>#VALUE!</v>
      </c>
      <c r="F32" s="148" t="e">
        <f t="shared" si="2"/>
        <v>#VALUE!</v>
      </c>
      <c r="G32" s="148" t="str">
        <f t="shared" si="5"/>
        <v/>
      </c>
      <c r="H32" s="148" t="str">
        <f t="shared" si="6"/>
        <v/>
      </c>
      <c r="I32" s="148" t="e">
        <f t="shared" si="3"/>
        <v>#VALUE!</v>
      </c>
      <c r="J32" s="148">
        <f>SUM($H$14:$H32)</f>
        <v>0</v>
      </c>
      <c r="K32" s="150"/>
      <c r="L32" s="150"/>
    </row>
    <row r="33" spans="1:12" s="151" customFormat="1" x14ac:dyDescent="0.2">
      <c r="A33" s="146" t="str">
        <f>IF(Values_Entered,A32+1,"")</f>
        <v/>
      </c>
      <c r="B33" s="147" t="str">
        <f t="shared" si="0"/>
        <v/>
      </c>
      <c r="C33" s="148" t="str">
        <f t="shared" si="4"/>
        <v/>
      </c>
      <c r="D33" s="148" t="str">
        <f t="shared" si="7"/>
        <v/>
      </c>
      <c r="E33" s="149" t="e">
        <f t="shared" si="1"/>
        <v>#VALUE!</v>
      </c>
      <c r="F33" s="148" t="e">
        <f t="shared" si="2"/>
        <v>#VALUE!</v>
      </c>
      <c r="G33" s="148" t="str">
        <f t="shared" si="5"/>
        <v/>
      </c>
      <c r="H33" s="148" t="str">
        <f t="shared" si="6"/>
        <v/>
      </c>
      <c r="I33" s="148" t="e">
        <f t="shared" si="3"/>
        <v>#VALUE!</v>
      </c>
      <c r="J33" s="148">
        <f>SUM($H$14:$H33)</f>
        <v>0</v>
      </c>
      <c r="K33" s="150"/>
      <c r="L33" s="150"/>
    </row>
    <row r="34" spans="1:12" s="151" customFormat="1" x14ac:dyDescent="0.2">
      <c r="A34" s="146" t="str">
        <f>IF(Values_Entered,A33+1,"")</f>
        <v/>
      </c>
      <c r="B34" s="147" t="str">
        <f t="shared" si="0"/>
        <v/>
      </c>
      <c r="C34" s="148" t="str">
        <f t="shared" si="4"/>
        <v/>
      </c>
      <c r="D34" s="148" t="str">
        <f t="shared" si="7"/>
        <v/>
      </c>
      <c r="E34" s="149" t="e">
        <f t="shared" si="1"/>
        <v>#VALUE!</v>
      </c>
      <c r="F34" s="148" t="e">
        <f t="shared" si="2"/>
        <v>#VALUE!</v>
      </c>
      <c r="G34" s="148" t="str">
        <f t="shared" si="5"/>
        <v/>
      </c>
      <c r="H34" s="148" t="str">
        <f t="shared" si="6"/>
        <v/>
      </c>
      <c r="I34" s="148" t="e">
        <f t="shared" si="3"/>
        <v>#VALUE!</v>
      </c>
      <c r="J34" s="148">
        <f>SUM($H$14:$H34)</f>
        <v>0</v>
      </c>
      <c r="K34" s="150"/>
      <c r="L34" s="150"/>
    </row>
    <row r="35" spans="1:12" s="151" customFormat="1" x14ac:dyDescent="0.2">
      <c r="A35" s="146" t="str">
        <f>IF(Values_Entered,A34+1,"")</f>
        <v/>
      </c>
      <c r="B35" s="147" t="str">
        <f t="shared" si="0"/>
        <v/>
      </c>
      <c r="C35" s="148" t="str">
        <f t="shared" si="4"/>
        <v/>
      </c>
      <c r="D35" s="148" t="str">
        <f t="shared" si="7"/>
        <v/>
      </c>
      <c r="E35" s="149" t="e">
        <f t="shared" si="1"/>
        <v>#VALUE!</v>
      </c>
      <c r="F35" s="148" t="e">
        <f t="shared" si="2"/>
        <v>#VALUE!</v>
      </c>
      <c r="G35" s="148" t="str">
        <f t="shared" si="5"/>
        <v/>
      </c>
      <c r="H35" s="148" t="str">
        <f t="shared" si="6"/>
        <v/>
      </c>
      <c r="I35" s="148" t="e">
        <f t="shared" si="3"/>
        <v>#VALUE!</v>
      </c>
      <c r="J35" s="148">
        <f>SUM($H$14:$H35)</f>
        <v>0</v>
      </c>
      <c r="K35" s="150"/>
      <c r="L35" s="150"/>
    </row>
    <row r="36" spans="1:12" s="151" customFormat="1" x14ac:dyDescent="0.2">
      <c r="A36" s="146" t="str">
        <f>IF(Values_Entered,A35+1,"")</f>
        <v/>
      </c>
      <c r="B36" s="147" t="str">
        <f t="shared" si="0"/>
        <v/>
      </c>
      <c r="C36" s="148" t="str">
        <f t="shared" si="4"/>
        <v/>
      </c>
      <c r="D36" s="148" t="str">
        <f t="shared" si="7"/>
        <v/>
      </c>
      <c r="E36" s="149" t="e">
        <f t="shared" si="1"/>
        <v>#VALUE!</v>
      </c>
      <c r="F36" s="148" t="e">
        <f t="shared" si="2"/>
        <v>#VALUE!</v>
      </c>
      <c r="G36" s="148" t="str">
        <f t="shared" si="5"/>
        <v/>
      </c>
      <c r="H36" s="148" t="str">
        <f t="shared" si="6"/>
        <v/>
      </c>
      <c r="I36" s="148" t="e">
        <f t="shared" si="3"/>
        <v>#VALUE!</v>
      </c>
      <c r="J36" s="148">
        <f>SUM($H$14:$H36)</f>
        <v>0</v>
      </c>
      <c r="K36" s="150"/>
      <c r="L36" s="150"/>
    </row>
    <row r="37" spans="1:12" s="151" customFormat="1" x14ac:dyDescent="0.2">
      <c r="A37" s="146" t="str">
        <f>IF(Values_Entered,A36+1,"")</f>
        <v/>
      </c>
      <c r="B37" s="147" t="str">
        <f t="shared" si="0"/>
        <v/>
      </c>
      <c r="C37" s="148" t="str">
        <f t="shared" si="4"/>
        <v/>
      </c>
      <c r="D37" s="148" t="str">
        <f t="shared" si="7"/>
        <v/>
      </c>
      <c r="E37" s="149" t="e">
        <f t="shared" si="1"/>
        <v>#VALUE!</v>
      </c>
      <c r="F37" s="148" t="e">
        <f t="shared" si="2"/>
        <v>#VALUE!</v>
      </c>
      <c r="G37" s="148" t="str">
        <f t="shared" si="5"/>
        <v/>
      </c>
      <c r="H37" s="148" t="str">
        <f t="shared" si="6"/>
        <v/>
      </c>
      <c r="I37" s="148" t="e">
        <f t="shared" si="3"/>
        <v>#VALUE!</v>
      </c>
      <c r="J37" s="148">
        <f>SUM($H$14:$H37)</f>
        <v>0</v>
      </c>
      <c r="K37" s="150"/>
      <c r="L37" s="150"/>
    </row>
    <row r="38" spans="1:12" s="151" customFormat="1" x14ac:dyDescent="0.2">
      <c r="A38" s="146" t="str">
        <f>IF(Values_Entered,A37+1,"")</f>
        <v/>
      </c>
      <c r="B38" s="147" t="str">
        <f t="shared" si="0"/>
        <v/>
      </c>
      <c r="C38" s="148" t="str">
        <f t="shared" si="4"/>
        <v/>
      </c>
      <c r="D38" s="148" t="str">
        <f t="shared" si="7"/>
        <v/>
      </c>
      <c r="E38" s="149" t="e">
        <f t="shared" si="1"/>
        <v>#VALUE!</v>
      </c>
      <c r="F38" s="148" t="e">
        <f t="shared" si="2"/>
        <v>#VALUE!</v>
      </c>
      <c r="G38" s="148" t="str">
        <f t="shared" si="5"/>
        <v/>
      </c>
      <c r="H38" s="148" t="str">
        <f t="shared" si="6"/>
        <v/>
      </c>
      <c r="I38" s="148" t="e">
        <f t="shared" si="3"/>
        <v>#VALUE!</v>
      </c>
      <c r="J38" s="148">
        <f>SUM($H$14:$H38)</f>
        <v>0</v>
      </c>
      <c r="K38" s="150"/>
      <c r="L38" s="150"/>
    </row>
    <row r="39" spans="1:12" s="151" customFormat="1" x14ac:dyDescent="0.2">
      <c r="A39" s="146" t="str">
        <f>IF(Values_Entered,A38+1,"")</f>
        <v/>
      </c>
      <c r="B39" s="147" t="str">
        <f t="shared" si="0"/>
        <v/>
      </c>
      <c r="C39" s="148" t="str">
        <f t="shared" si="4"/>
        <v/>
      </c>
      <c r="D39" s="148" t="str">
        <f t="shared" si="7"/>
        <v/>
      </c>
      <c r="E39" s="149" t="e">
        <f t="shared" si="1"/>
        <v>#VALUE!</v>
      </c>
      <c r="F39" s="148" t="e">
        <f t="shared" si="2"/>
        <v>#VALUE!</v>
      </c>
      <c r="G39" s="148" t="str">
        <f t="shared" si="5"/>
        <v/>
      </c>
      <c r="H39" s="148" t="str">
        <f t="shared" si="6"/>
        <v/>
      </c>
      <c r="I39" s="148" t="e">
        <f t="shared" si="3"/>
        <v>#VALUE!</v>
      </c>
      <c r="J39" s="148">
        <f>SUM($H$14:$H39)</f>
        <v>0</v>
      </c>
      <c r="K39" s="150"/>
      <c r="L39" s="150"/>
    </row>
    <row r="40" spans="1:12" s="151" customFormat="1" x14ac:dyDescent="0.2">
      <c r="A40" s="146" t="str">
        <f>IF(Values_Entered,A39+1,"")</f>
        <v/>
      </c>
      <c r="B40" s="147" t="str">
        <f t="shared" si="0"/>
        <v/>
      </c>
      <c r="C40" s="148" t="str">
        <f t="shared" si="4"/>
        <v/>
      </c>
      <c r="D40" s="148" t="str">
        <f t="shared" si="7"/>
        <v/>
      </c>
      <c r="E40" s="149" t="e">
        <f t="shared" si="1"/>
        <v>#VALUE!</v>
      </c>
      <c r="F40" s="148" t="e">
        <f t="shared" si="2"/>
        <v>#VALUE!</v>
      </c>
      <c r="G40" s="148" t="str">
        <f t="shared" si="5"/>
        <v/>
      </c>
      <c r="H40" s="148" t="str">
        <f t="shared" si="6"/>
        <v/>
      </c>
      <c r="I40" s="148" t="e">
        <f t="shared" si="3"/>
        <v>#VALUE!</v>
      </c>
      <c r="J40" s="148">
        <f>SUM($H$14:$H40)</f>
        <v>0</v>
      </c>
      <c r="K40" s="150"/>
      <c r="L40" s="150"/>
    </row>
    <row r="41" spans="1:12" s="151" customFormat="1" x14ac:dyDescent="0.2">
      <c r="A41" s="146" t="str">
        <f>IF(Values_Entered,A40+1,"")</f>
        <v/>
      </c>
      <c r="B41" s="147" t="str">
        <f t="shared" si="0"/>
        <v/>
      </c>
      <c r="C41" s="148" t="str">
        <f t="shared" si="4"/>
        <v/>
      </c>
      <c r="D41" s="148" t="str">
        <f t="shared" si="7"/>
        <v/>
      </c>
      <c r="E41" s="149" t="e">
        <f t="shared" si="1"/>
        <v>#VALUE!</v>
      </c>
      <c r="F41" s="148" t="e">
        <f t="shared" si="2"/>
        <v>#VALUE!</v>
      </c>
      <c r="G41" s="148" t="str">
        <f t="shared" si="5"/>
        <v/>
      </c>
      <c r="H41" s="148" t="str">
        <f t="shared" si="6"/>
        <v/>
      </c>
      <c r="I41" s="148" t="e">
        <f t="shared" si="3"/>
        <v>#VALUE!</v>
      </c>
      <c r="J41" s="148">
        <f>SUM($H$14:$H41)</f>
        <v>0</v>
      </c>
      <c r="K41" s="150"/>
      <c r="L41" s="150"/>
    </row>
    <row r="42" spans="1:12" s="151" customFormat="1" x14ac:dyDescent="0.2">
      <c r="A42" s="146" t="str">
        <f>IF(Values_Entered,A41+1,"")</f>
        <v/>
      </c>
      <c r="B42" s="147" t="str">
        <f t="shared" si="0"/>
        <v/>
      </c>
      <c r="C42" s="148" t="str">
        <f t="shared" si="4"/>
        <v/>
      </c>
      <c r="D42" s="148" t="str">
        <f t="shared" si="7"/>
        <v/>
      </c>
      <c r="E42" s="149" t="e">
        <f t="shared" si="1"/>
        <v>#VALUE!</v>
      </c>
      <c r="F42" s="148" t="e">
        <f t="shared" si="2"/>
        <v>#VALUE!</v>
      </c>
      <c r="G42" s="148" t="str">
        <f t="shared" si="5"/>
        <v/>
      </c>
      <c r="H42" s="148" t="str">
        <f t="shared" si="6"/>
        <v/>
      </c>
      <c r="I42" s="148" t="e">
        <f t="shared" si="3"/>
        <v>#VALUE!</v>
      </c>
      <c r="J42" s="148">
        <f>SUM($H$14:$H42)</f>
        <v>0</v>
      </c>
      <c r="K42" s="150"/>
      <c r="L42" s="150"/>
    </row>
    <row r="43" spans="1:12" s="151" customFormat="1" x14ac:dyDescent="0.2">
      <c r="A43" s="146" t="str">
        <f>IF(Values_Entered,A42+1,"")</f>
        <v/>
      </c>
      <c r="B43" s="147" t="str">
        <f t="shared" si="0"/>
        <v/>
      </c>
      <c r="C43" s="148" t="str">
        <f t="shared" si="4"/>
        <v/>
      </c>
      <c r="D43" s="148" t="str">
        <f t="shared" si="7"/>
        <v/>
      </c>
      <c r="E43" s="149" t="e">
        <f t="shared" si="1"/>
        <v>#VALUE!</v>
      </c>
      <c r="F43" s="148" t="e">
        <f t="shared" si="2"/>
        <v>#VALUE!</v>
      </c>
      <c r="G43" s="148" t="str">
        <f t="shared" si="5"/>
        <v/>
      </c>
      <c r="H43" s="148" t="str">
        <f t="shared" si="6"/>
        <v/>
      </c>
      <c r="I43" s="148" t="e">
        <f t="shared" si="3"/>
        <v>#VALUE!</v>
      </c>
      <c r="J43" s="148">
        <f>SUM($H$14:$H43)</f>
        <v>0</v>
      </c>
      <c r="K43" s="150"/>
      <c r="L43" s="150"/>
    </row>
    <row r="44" spans="1:12" s="151" customFormat="1" x14ac:dyDescent="0.2">
      <c r="A44" s="146" t="str">
        <f>IF(Values_Entered,A43+1,"")</f>
        <v/>
      </c>
      <c r="B44" s="147" t="str">
        <f t="shared" si="0"/>
        <v/>
      </c>
      <c r="C44" s="148" t="str">
        <f t="shared" si="4"/>
        <v/>
      </c>
      <c r="D44" s="148" t="str">
        <f t="shared" si="7"/>
        <v/>
      </c>
      <c r="E44" s="149" t="e">
        <f t="shared" si="1"/>
        <v>#VALUE!</v>
      </c>
      <c r="F44" s="148" t="e">
        <f t="shared" si="2"/>
        <v>#VALUE!</v>
      </c>
      <c r="G44" s="148" t="str">
        <f t="shared" si="5"/>
        <v/>
      </c>
      <c r="H44" s="148" t="str">
        <f t="shared" si="6"/>
        <v/>
      </c>
      <c r="I44" s="148" t="e">
        <f t="shared" si="3"/>
        <v>#VALUE!</v>
      </c>
      <c r="J44" s="148">
        <f>SUM($H$14:$H44)</f>
        <v>0</v>
      </c>
      <c r="K44" s="150"/>
      <c r="L44" s="150"/>
    </row>
    <row r="45" spans="1:12" s="151" customFormat="1" x14ac:dyDescent="0.2">
      <c r="A45" s="146" t="str">
        <f>IF(Values_Entered,A44+1,"")</f>
        <v/>
      </c>
      <c r="B45" s="147" t="str">
        <f t="shared" si="0"/>
        <v/>
      </c>
      <c r="C45" s="148" t="str">
        <f t="shared" si="4"/>
        <v/>
      </c>
      <c r="D45" s="148" t="str">
        <f t="shared" si="7"/>
        <v/>
      </c>
      <c r="E45" s="149" t="e">
        <f t="shared" si="1"/>
        <v>#VALUE!</v>
      </c>
      <c r="F45" s="148" t="e">
        <f t="shared" si="2"/>
        <v>#VALUE!</v>
      </c>
      <c r="G45" s="148" t="str">
        <f t="shared" si="5"/>
        <v/>
      </c>
      <c r="H45" s="148" t="str">
        <f t="shared" si="6"/>
        <v/>
      </c>
      <c r="I45" s="148" t="e">
        <f t="shared" si="3"/>
        <v>#VALUE!</v>
      </c>
      <c r="J45" s="148">
        <f>SUM($H$14:$H45)</f>
        <v>0</v>
      </c>
      <c r="K45" s="150"/>
      <c r="L45" s="150"/>
    </row>
    <row r="46" spans="1:12" s="151" customFormat="1" x14ac:dyDescent="0.2">
      <c r="A46" s="146" t="str">
        <f>IF(Values_Entered,A45+1,"")</f>
        <v/>
      </c>
      <c r="B46" s="147" t="str">
        <f t="shared" si="0"/>
        <v/>
      </c>
      <c r="C46" s="148" t="str">
        <f t="shared" si="4"/>
        <v/>
      </c>
      <c r="D46" s="148" t="str">
        <f t="shared" si="7"/>
        <v/>
      </c>
      <c r="E46" s="149" t="e">
        <f t="shared" si="1"/>
        <v>#VALUE!</v>
      </c>
      <c r="F46" s="148" t="e">
        <f t="shared" si="2"/>
        <v>#VALUE!</v>
      </c>
      <c r="G46" s="148" t="str">
        <f t="shared" si="5"/>
        <v/>
      </c>
      <c r="H46" s="148" t="str">
        <f t="shared" si="6"/>
        <v/>
      </c>
      <c r="I46" s="148" t="e">
        <f t="shared" si="3"/>
        <v>#VALUE!</v>
      </c>
      <c r="J46" s="148">
        <f>SUM($H$14:$H46)</f>
        <v>0</v>
      </c>
      <c r="K46" s="150"/>
      <c r="L46" s="150"/>
    </row>
    <row r="47" spans="1:12" s="151" customFormat="1" x14ac:dyDescent="0.2">
      <c r="A47" s="146" t="str">
        <f>IF(Values_Entered,A46+1,"")</f>
        <v/>
      </c>
      <c r="B47" s="147" t="str">
        <f t="shared" si="0"/>
        <v/>
      </c>
      <c r="C47" s="148" t="str">
        <f t="shared" si="4"/>
        <v/>
      </c>
      <c r="D47" s="148" t="str">
        <f t="shared" si="7"/>
        <v/>
      </c>
      <c r="E47" s="149" t="e">
        <f t="shared" si="1"/>
        <v>#VALUE!</v>
      </c>
      <c r="F47" s="148" t="e">
        <f t="shared" si="2"/>
        <v>#VALUE!</v>
      </c>
      <c r="G47" s="148" t="str">
        <f t="shared" si="5"/>
        <v/>
      </c>
      <c r="H47" s="148" t="str">
        <f t="shared" si="6"/>
        <v/>
      </c>
      <c r="I47" s="148" t="e">
        <f t="shared" si="3"/>
        <v>#VALUE!</v>
      </c>
      <c r="J47" s="148">
        <f>SUM($H$14:$H47)</f>
        <v>0</v>
      </c>
      <c r="K47" s="150"/>
      <c r="L47" s="150"/>
    </row>
    <row r="48" spans="1:12" s="151" customFormat="1" x14ac:dyDescent="0.2">
      <c r="A48" s="146" t="str">
        <f>IF(Values_Entered,A47+1,"")</f>
        <v/>
      </c>
      <c r="B48" s="147" t="str">
        <f t="shared" si="0"/>
        <v/>
      </c>
      <c r="C48" s="148" t="str">
        <f t="shared" si="4"/>
        <v/>
      </c>
      <c r="D48" s="148" t="str">
        <f t="shared" si="7"/>
        <v/>
      </c>
      <c r="E48" s="149" t="e">
        <f t="shared" si="1"/>
        <v>#VALUE!</v>
      </c>
      <c r="F48" s="148" t="e">
        <f t="shared" si="2"/>
        <v>#VALUE!</v>
      </c>
      <c r="G48" s="148" t="str">
        <f t="shared" si="5"/>
        <v/>
      </c>
      <c r="H48" s="148" t="str">
        <f t="shared" si="6"/>
        <v/>
      </c>
      <c r="I48" s="148" t="e">
        <f t="shared" si="3"/>
        <v>#VALUE!</v>
      </c>
      <c r="J48" s="148">
        <f>SUM($H$14:$H48)</f>
        <v>0</v>
      </c>
      <c r="K48" s="150"/>
      <c r="L48" s="150"/>
    </row>
    <row r="49" spans="1:12" s="151" customFormat="1" x14ac:dyDescent="0.2">
      <c r="A49" s="146" t="str">
        <f>IF(Values_Entered,A48+1,"")</f>
        <v/>
      </c>
      <c r="B49" s="147" t="str">
        <f t="shared" si="0"/>
        <v/>
      </c>
      <c r="C49" s="148" t="str">
        <f t="shared" si="4"/>
        <v/>
      </c>
      <c r="D49" s="148" t="str">
        <f t="shared" si="7"/>
        <v/>
      </c>
      <c r="E49" s="149" t="e">
        <f t="shared" si="1"/>
        <v>#VALUE!</v>
      </c>
      <c r="F49" s="148" t="e">
        <f t="shared" si="2"/>
        <v>#VALUE!</v>
      </c>
      <c r="G49" s="148" t="str">
        <f t="shared" si="5"/>
        <v/>
      </c>
      <c r="H49" s="148" t="str">
        <f t="shared" si="6"/>
        <v/>
      </c>
      <c r="I49" s="148" t="e">
        <f t="shared" si="3"/>
        <v>#VALUE!</v>
      </c>
      <c r="J49" s="148">
        <f>SUM($H$14:$H49)</f>
        <v>0</v>
      </c>
      <c r="K49" s="150"/>
      <c r="L49" s="150"/>
    </row>
    <row r="50" spans="1:12" s="151" customFormat="1" x14ac:dyDescent="0.2">
      <c r="A50" s="146" t="str">
        <f>IF(Values_Entered,A49+1,"")</f>
        <v/>
      </c>
      <c r="B50" s="147" t="str">
        <f t="shared" si="0"/>
        <v/>
      </c>
      <c r="C50" s="148" t="str">
        <f t="shared" si="4"/>
        <v/>
      </c>
      <c r="D50" s="148" t="str">
        <f t="shared" si="7"/>
        <v/>
      </c>
      <c r="E50" s="149" t="e">
        <f t="shared" si="1"/>
        <v>#VALUE!</v>
      </c>
      <c r="F50" s="148" t="e">
        <f t="shared" si="2"/>
        <v>#VALUE!</v>
      </c>
      <c r="G50" s="148" t="str">
        <f t="shared" si="5"/>
        <v/>
      </c>
      <c r="H50" s="148" t="str">
        <f t="shared" si="6"/>
        <v/>
      </c>
      <c r="I50" s="148" t="e">
        <f t="shared" si="3"/>
        <v>#VALUE!</v>
      </c>
      <c r="J50" s="148">
        <f>SUM($H$14:$H50)</f>
        <v>0</v>
      </c>
      <c r="K50" s="150"/>
      <c r="L50" s="150"/>
    </row>
    <row r="51" spans="1:12" s="151" customFormat="1" x14ac:dyDescent="0.2">
      <c r="A51" s="146" t="str">
        <f>IF(Values_Entered,A50+1,"")</f>
        <v/>
      </c>
      <c r="B51" s="147" t="str">
        <f t="shared" si="0"/>
        <v/>
      </c>
      <c r="C51" s="148" t="str">
        <f t="shared" si="4"/>
        <v/>
      </c>
      <c r="D51" s="148" t="str">
        <f t="shared" si="7"/>
        <v/>
      </c>
      <c r="E51" s="149" t="e">
        <f t="shared" si="1"/>
        <v>#VALUE!</v>
      </c>
      <c r="F51" s="148" t="e">
        <f t="shared" si="2"/>
        <v>#VALUE!</v>
      </c>
      <c r="G51" s="148" t="str">
        <f t="shared" si="5"/>
        <v/>
      </c>
      <c r="H51" s="148" t="str">
        <f t="shared" si="6"/>
        <v/>
      </c>
      <c r="I51" s="148" t="e">
        <f t="shared" si="3"/>
        <v>#VALUE!</v>
      </c>
      <c r="J51" s="148">
        <f>SUM($H$14:$H51)</f>
        <v>0</v>
      </c>
      <c r="K51" s="150"/>
      <c r="L51" s="150"/>
    </row>
    <row r="52" spans="1:12" s="151" customFormat="1" x14ac:dyDescent="0.2">
      <c r="A52" s="146" t="str">
        <f>IF(Values_Entered,A51+1,"")</f>
        <v/>
      </c>
      <c r="B52" s="147" t="str">
        <f t="shared" si="0"/>
        <v/>
      </c>
      <c r="C52" s="148" t="str">
        <f t="shared" si="4"/>
        <v/>
      </c>
      <c r="D52" s="148" t="str">
        <f t="shared" si="7"/>
        <v/>
      </c>
      <c r="E52" s="149" t="e">
        <f t="shared" si="1"/>
        <v>#VALUE!</v>
      </c>
      <c r="F52" s="148" t="e">
        <f t="shared" si="2"/>
        <v>#VALUE!</v>
      </c>
      <c r="G52" s="148" t="str">
        <f t="shared" si="5"/>
        <v/>
      </c>
      <c r="H52" s="148" t="str">
        <f t="shared" si="6"/>
        <v/>
      </c>
      <c r="I52" s="148" t="e">
        <f t="shared" si="3"/>
        <v>#VALUE!</v>
      </c>
      <c r="J52" s="148">
        <f>SUM($H$14:$H52)</f>
        <v>0</v>
      </c>
      <c r="K52" s="150"/>
      <c r="L52" s="150"/>
    </row>
    <row r="53" spans="1:12" s="151" customFormat="1" x14ac:dyDescent="0.2">
      <c r="A53" s="146" t="str">
        <f>IF(Values_Entered,A52+1,"")</f>
        <v/>
      </c>
      <c r="B53" s="147" t="str">
        <f t="shared" si="0"/>
        <v/>
      </c>
      <c r="C53" s="148" t="str">
        <f t="shared" si="4"/>
        <v/>
      </c>
      <c r="D53" s="148" t="str">
        <f t="shared" si="7"/>
        <v/>
      </c>
      <c r="E53" s="149" t="e">
        <f t="shared" si="1"/>
        <v>#VALUE!</v>
      </c>
      <c r="F53" s="148" t="e">
        <f t="shared" si="2"/>
        <v>#VALUE!</v>
      </c>
      <c r="G53" s="148" t="str">
        <f t="shared" si="5"/>
        <v/>
      </c>
      <c r="H53" s="148" t="str">
        <f t="shared" si="6"/>
        <v/>
      </c>
      <c r="I53" s="148" t="e">
        <f t="shared" si="3"/>
        <v>#VALUE!</v>
      </c>
      <c r="J53" s="148">
        <f>SUM($H$14:$H53)</f>
        <v>0</v>
      </c>
      <c r="K53" s="150"/>
      <c r="L53" s="150"/>
    </row>
    <row r="54" spans="1:12" s="151" customFormat="1" x14ac:dyDescent="0.2">
      <c r="A54" s="146" t="str">
        <f>IF(Values_Entered,A53+1,"")</f>
        <v/>
      </c>
      <c r="B54" s="147" t="str">
        <f t="shared" si="0"/>
        <v/>
      </c>
      <c r="C54" s="148" t="str">
        <f t="shared" si="4"/>
        <v/>
      </c>
      <c r="D54" s="148" t="str">
        <f t="shared" si="7"/>
        <v/>
      </c>
      <c r="E54" s="149" t="e">
        <f t="shared" si="1"/>
        <v>#VALUE!</v>
      </c>
      <c r="F54" s="148" t="e">
        <f t="shared" si="2"/>
        <v>#VALUE!</v>
      </c>
      <c r="G54" s="148" t="str">
        <f t="shared" si="5"/>
        <v/>
      </c>
      <c r="H54" s="148" t="str">
        <f t="shared" si="6"/>
        <v/>
      </c>
      <c r="I54" s="148" t="e">
        <f t="shared" si="3"/>
        <v>#VALUE!</v>
      </c>
      <c r="J54" s="148">
        <f>SUM($H$14:$H54)</f>
        <v>0</v>
      </c>
      <c r="K54" s="150"/>
      <c r="L54" s="150"/>
    </row>
    <row r="55" spans="1:12" s="151" customFormat="1" x14ac:dyDescent="0.2">
      <c r="A55" s="146" t="str">
        <f>IF(Values_Entered,A54+1,"")</f>
        <v/>
      </c>
      <c r="B55" s="147" t="str">
        <f t="shared" si="0"/>
        <v/>
      </c>
      <c r="C55" s="148" t="str">
        <f t="shared" si="4"/>
        <v/>
      </c>
      <c r="D55" s="148" t="str">
        <f t="shared" si="7"/>
        <v/>
      </c>
      <c r="E55" s="149" t="e">
        <f t="shared" si="1"/>
        <v>#VALUE!</v>
      </c>
      <c r="F55" s="148" t="e">
        <f t="shared" si="2"/>
        <v>#VALUE!</v>
      </c>
      <c r="G55" s="148" t="str">
        <f t="shared" si="5"/>
        <v/>
      </c>
      <c r="H55" s="148" t="str">
        <f t="shared" si="6"/>
        <v/>
      </c>
      <c r="I55" s="148" t="e">
        <f t="shared" si="3"/>
        <v>#VALUE!</v>
      </c>
      <c r="J55" s="148">
        <f>SUM($H$14:$H55)</f>
        <v>0</v>
      </c>
      <c r="K55" s="150"/>
      <c r="L55" s="150"/>
    </row>
    <row r="56" spans="1:12" s="151" customFormat="1" x14ac:dyDescent="0.2">
      <c r="A56" s="146" t="str">
        <f>IF(Values_Entered,A55+1,"")</f>
        <v/>
      </c>
      <c r="B56" s="147" t="str">
        <f t="shared" si="0"/>
        <v/>
      </c>
      <c r="C56" s="148" t="str">
        <f t="shared" si="4"/>
        <v/>
      </c>
      <c r="D56" s="148" t="str">
        <f t="shared" si="7"/>
        <v/>
      </c>
      <c r="E56" s="149" t="e">
        <f t="shared" si="1"/>
        <v>#VALUE!</v>
      </c>
      <c r="F56" s="148" t="e">
        <f t="shared" si="2"/>
        <v>#VALUE!</v>
      </c>
      <c r="G56" s="148" t="str">
        <f t="shared" si="5"/>
        <v/>
      </c>
      <c r="H56" s="148" t="str">
        <f t="shared" si="6"/>
        <v/>
      </c>
      <c r="I56" s="148" t="e">
        <f t="shared" si="3"/>
        <v>#VALUE!</v>
      </c>
      <c r="J56" s="148">
        <f>SUM($H$14:$H56)</f>
        <v>0</v>
      </c>
      <c r="K56" s="150"/>
      <c r="L56" s="150"/>
    </row>
    <row r="57" spans="1:12" s="151" customFormat="1" x14ac:dyDescent="0.2">
      <c r="A57" s="146" t="str">
        <f>IF(Values_Entered,A56+1,"")</f>
        <v/>
      </c>
      <c r="B57" s="147" t="str">
        <f t="shared" si="0"/>
        <v/>
      </c>
      <c r="C57" s="148" t="str">
        <f t="shared" si="4"/>
        <v/>
      </c>
      <c r="D57" s="148" t="str">
        <f t="shared" si="7"/>
        <v/>
      </c>
      <c r="E57" s="149" t="e">
        <f t="shared" si="1"/>
        <v>#VALUE!</v>
      </c>
      <c r="F57" s="148" t="e">
        <f t="shared" si="2"/>
        <v>#VALUE!</v>
      </c>
      <c r="G57" s="148" t="str">
        <f t="shared" si="5"/>
        <v/>
      </c>
      <c r="H57" s="148" t="str">
        <f t="shared" si="6"/>
        <v/>
      </c>
      <c r="I57" s="148" t="e">
        <f t="shared" si="3"/>
        <v>#VALUE!</v>
      </c>
      <c r="J57" s="148">
        <f>SUM($H$14:$H57)</f>
        <v>0</v>
      </c>
      <c r="K57" s="150"/>
      <c r="L57" s="150"/>
    </row>
    <row r="58" spans="1:12" s="151" customFormat="1" x14ac:dyDescent="0.2">
      <c r="A58" s="146" t="str">
        <f>IF(Values_Entered,A57+1,"")</f>
        <v/>
      </c>
      <c r="B58" s="147" t="str">
        <f t="shared" si="0"/>
        <v/>
      </c>
      <c r="C58" s="148" t="str">
        <f t="shared" si="4"/>
        <v/>
      </c>
      <c r="D58" s="148" t="str">
        <f t="shared" si="7"/>
        <v/>
      </c>
      <c r="E58" s="149" t="e">
        <f t="shared" si="1"/>
        <v>#VALUE!</v>
      </c>
      <c r="F58" s="148" t="e">
        <f t="shared" si="2"/>
        <v>#VALUE!</v>
      </c>
      <c r="G58" s="148" t="str">
        <f t="shared" si="5"/>
        <v/>
      </c>
      <c r="H58" s="148" t="str">
        <f t="shared" si="6"/>
        <v/>
      </c>
      <c r="I58" s="148" t="e">
        <f t="shared" si="3"/>
        <v>#VALUE!</v>
      </c>
      <c r="J58" s="148">
        <f>SUM($H$14:$H58)</f>
        <v>0</v>
      </c>
      <c r="K58" s="150"/>
      <c r="L58" s="150"/>
    </row>
    <row r="59" spans="1:12" s="151" customFormat="1" x14ac:dyDescent="0.2">
      <c r="A59" s="146" t="str">
        <f>IF(Values_Entered,A58+1,"")</f>
        <v/>
      </c>
      <c r="B59" s="147" t="str">
        <f t="shared" si="0"/>
        <v/>
      </c>
      <c r="C59" s="148" t="str">
        <f t="shared" si="4"/>
        <v/>
      </c>
      <c r="D59" s="148" t="str">
        <f t="shared" si="7"/>
        <v/>
      </c>
      <c r="E59" s="149" t="e">
        <f t="shared" si="1"/>
        <v>#VALUE!</v>
      </c>
      <c r="F59" s="148" t="e">
        <f t="shared" si="2"/>
        <v>#VALUE!</v>
      </c>
      <c r="G59" s="148" t="str">
        <f t="shared" si="5"/>
        <v/>
      </c>
      <c r="H59" s="148" t="str">
        <f t="shared" si="6"/>
        <v/>
      </c>
      <c r="I59" s="148" t="e">
        <f t="shared" si="3"/>
        <v>#VALUE!</v>
      </c>
      <c r="J59" s="148">
        <f>SUM($H$14:$H59)</f>
        <v>0</v>
      </c>
      <c r="K59" s="150"/>
      <c r="L59" s="150"/>
    </row>
    <row r="60" spans="1:12" s="151" customFormat="1" x14ac:dyDescent="0.2">
      <c r="A60" s="146" t="str">
        <f>IF(Values_Entered,A59+1,"")</f>
        <v/>
      </c>
      <c r="B60" s="147" t="str">
        <f t="shared" si="0"/>
        <v/>
      </c>
      <c r="C60" s="148" t="str">
        <f t="shared" si="4"/>
        <v/>
      </c>
      <c r="D60" s="148" t="str">
        <f t="shared" si="7"/>
        <v/>
      </c>
      <c r="E60" s="149" t="e">
        <f t="shared" si="1"/>
        <v>#VALUE!</v>
      </c>
      <c r="F60" s="148" t="e">
        <f t="shared" si="2"/>
        <v>#VALUE!</v>
      </c>
      <c r="G60" s="148" t="str">
        <f t="shared" si="5"/>
        <v/>
      </c>
      <c r="H60" s="148" t="str">
        <f t="shared" si="6"/>
        <v/>
      </c>
      <c r="I60" s="148" t="e">
        <f t="shared" si="3"/>
        <v>#VALUE!</v>
      </c>
      <c r="J60" s="148">
        <f>SUM($H$14:$H60)</f>
        <v>0</v>
      </c>
      <c r="K60" s="150"/>
      <c r="L60" s="150"/>
    </row>
    <row r="61" spans="1:12" s="151" customFormat="1" x14ac:dyDescent="0.2">
      <c r="A61" s="146" t="str">
        <f>IF(Values_Entered,A60+1,"")</f>
        <v/>
      </c>
      <c r="B61" s="147" t="str">
        <f t="shared" si="0"/>
        <v/>
      </c>
      <c r="C61" s="148" t="str">
        <f t="shared" si="4"/>
        <v/>
      </c>
      <c r="D61" s="148" t="str">
        <f t="shared" si="7"/>
        <v/>
      </c>
      <c r="E61" s="149" t="e">
        <f t="shared" si="1"/>
        <v>#VALUE!</v>
      </c>
      <c r="F61" s="148" t="e">
        <f t="shared" si="2"/>
        <v>#VALUE!</v>
      </c>
      <c r="G61" s="148" t="str">
        <f t="shared" si="5"/>
        <v/>
      </c>
      <c r="H61" s="148" t="str">
        <f t="shared" si="6"/>
        <v/>
      </c>
      <c r="I61" s="148" t="e">
        <f t="shared" si="3"/>
        <v>#VALUE!</v>
      </c>
      <c r="J61" s="148">
        <f>SUM($H$14:$H61)</f>
        <v>0</v>
      </c>
      <c r="K61" s="150"/>
      <c r="L61" s="150"/>
    </row>
    <row r="62" spans="1:12" s="151" customFormat="1" x14ac:dyDescent="0.2">
      <c r="A62" s="146" t="str">
        <f>IF(Values_Entered,A61+1,"")</f>
        <v/>
      </c>
      <c r="B62" s="147" t="str">
        <f t="shared" si="0"/>
        <v/>
      </c>
      <c r="C62" s="148" t="str">
        <f t="shared" si="4"/>
        <v/>
      </c>
      <c r="D62" s="148" t="str">
        <f t="shared" si="7"/>
        <v/>
      </c>
      <c r="E62" s="149" t="e">
        <f t="shared" si="1"/>
        <v>#VALUE!</v>
      </c>
      <c r="F62" s="148" t="e">
        <f t="shared" si="2"/>
        <v>#VALUE!</v>
      </c>
      <c r="G62" s="148" t="str">
        <f t="shared" si="5"/>
        <v/>
      </c>
      <c r="H62" s="148" t="str">
        <f t="shared" si="6"/>
        <v/>
      </c>
      <c r="I62" s="148" t="e">
        <f t="shared" si="3"/>
        <v>#VALUE!</v>
      </c>
      <c r="J62" s="148">
        <f>SUM($H$14:$H62)</f>
        <v>0</v>
      </c>
      <c r="K62" s="150"/>
      <c r="L62" s="150"/>
    </row>
    <row r="63" spans="1:12" s="151" customFormat="1" x14ac:dyDescent="0.2">
      <c r="A63" s="146" t="str">
        <f>IF(Values_Entered,A62+1,"")</f>
        <v/>
      </c>
      <c r="B63" s="147" t="str">
        <f t="shared" si="0"/>
        <v/>
      </c>
      <c r="C63" s="148" t="str">
        <f t="shared" si="4"/>
        <v/>
      </c>
      <c r="D63" s="148" t="str">
        <f t="shared" si="7"/>
        <v/>
      </c>
      <c r="E63" s="149" t="e">
        <f t="shared" si="1"/>
        <v>#VALUE!</v>
      </c>
      <c r="F63" s="148" t="e">
        <f t="shared" si="2"/>
        <v>#VALUE!</v>
      </c>
      <c r="G63" s="148" t="str">
        <f t="shared" si="5"/>
        <v/>
      </c>
      <c r="H63" s="148" t="str">
        <f t="shared" si="6"/>
        <v/>
      </c>
      <c r="I63" s="148" t="e">
        <f t="shared" si="3"/>
        <v>#VALUE!</v>
      </c>
      <c r="J63" s="148">
        <f>SUM($H$14:$H63)</f>
        <v>0</v>
      </c>
      <c r="K63" s="150"/>
      <c r="L63" s="150"/>
    </row>
    <row r="64" spans="1:12" s="151" customFormat="1" x14ac:dyDescent="0.2">
      <c r="A64" s="146" t="str">
        <f>IF(Values_Entered,A63+1,"")</f>
        <v/>
      </c>
      <c r="B64" s="147" t="str">
        <f t="shared" si="0"/>
        <v/>
      </c>
      <c r="C64" s="148" t="str">
        <f t="shared" si="4"/>
        <v/>
      </c>
      <c r="D64" s="148" t="str">
        <f t="shared" si="7"/>
        <v/>
      </c>
      <c r="E64" s="149" t="e">
        <f t="shared" si="1"/>
        <v>#VALUE!</v>
      </c>
      <c r="F64" s="148" t="e">
        <f t="shared" si="2"/>
        <v>#VALUE!</v>
      </c>
      <c r="G64" s="148" t="str">
        <f t="shared" si="5"/>
        <v/>
      </c>
      <c r="H64" s="148" t="str">
        <f t="shared" si="6"/>
        <v/>
      </c>
      <c r="I64" s="148" t="e">
        <f t="shared" si="3"/>
        <v>#VALUE!</v>
      </c>
      <c r="J64" s="148">
        <f>SUM($H$14:$H64)</f>
        <v>0</v>
      </c>
      <c r="K64" s="150"/>
      <c r="L64" s="150"/>
    </row>
    <row r="65" spans="1:12" s="151" customFormat="1" x14ac:dyDescent="0.2">
      <c r="A65" s="146" t="str">
        <f>IF(Values_Entered,A64+1,"")</f>
        <v/>
      </c>
      <c r="B65" s="147" t="str">
        <f t="shared" si="0"/>
        <v/>
      </c>
      <c r="C65" s="148" t="str">
        <f t="shared" si="4"/>
        <v/>
      </c>
      <c r="D65" s="148" t="str">
        <f t="shared" si="7"/>
        <v/>
      </c>
      <c r="E65" s="149" t="e">
        <f t="shared" si="1"/>
        <v>#VALUE!</v>
      </c>
      <c r="F65" s="148" t="e">
        <f t="shared" si="2"/>
        <v>#VALUE!</v>
      </c>
      <c r="G65" s="148" t="str">
        <f t="shared" si="5"/>
        <v/>
      </c>
      <c r="H65" s="148" t="str">
        <f t="shared" si="6"/>
        <v/>
      </c>
      <c r="I65" s="148" t="e">
        <f t="shared" si="3"/>
        <v>#VALUE!</v>
      </c>
      <c r="J65" s="148">
        <f>SUM($H$14:$H65)</f>
        <v>0</v>
      </c>
      <c r="K65" s="150"/>
      <c r="L65" s="150"/>
    </row>
    <row r="66" spans="1:12" s="151" customFormat="1" x14ac:dyDescent="0.2">
      <c r="A66" s="146" t="str">
        <f>IF(Values_Entered,A65+1,"")</f>
        <v/>
      </c>
      <c r="B66" s="147" t="str">
        <f t="shared" si="0"/>
        <v/>
      </c>
      <c r="C66" s="148" t="str">
        <f t="shared" si="4"/>
        <v/>
      </c>
      <c r="D66" s="148" t="str">
        <f t="shared" si="7"/>
        <v/>
      </c>
      <c r="E66" s="149" t="e">
        <f t="shared" si="1"/>
        <v>#VALUE!</v>
      </c>
      <c r="F66" s="148" t="e">
        <f t="shared" si="2"/>
        <v>#VALUE!</v>
      </c>
      <c r="G66" s="148" t="str">
        <f t="shared" si="5"/>
        <v/>
      </c>
      <c r="H66" s="148" t="str">
        <f t="shared" si="6"/>
        <v/>
      </c>
      <c r="I66" s="148" t="e">
        <f t="shared" si="3"/>
        <v>#VALUE!</v>
      </c>
      <c r="J66" s="148">
        <f>SUM($H$14:$H66)</f>
        <v>0</v>
      </c>
      <c r="K66" s="150"/>
      <c r="L66" s="150"/>
    </row>
    <row r="67" spans="1:12" s="151" customFormat="1" x14ac:dyDescent="0.2">
      <c r="A67" s="146" t="str">
        <f>IF(Values_Entered,A66+1,"")</f>
        <v/>
      </c>
      <c r="B67" s="147" t="str">
        <f t="shared" si="0"/>
        <v/>
      </c>
      <c r="C67" s="148" t="str">
        <f t="shared" si="4"/>
        <v/>
      </c>
      <c r="D67" s="148" t="str">
        <f t="shared" si="7"/>
        <v/>
      </c>
      <c r="E67" s="149" t="e">
        <f t="shared" si="1"/>
        <v>#VALUE!</v>
      </c>
      <c r="F67" s="148" t="e">
        <f t="shared" si="2"/>
        <v>#VALUE!</v>
      </c>
      <c r="G67" s="148" t="str">
        <f t="shared" si="5"/>
        <v/>
      </c>
      <c r="H67" s="148" t="str">
        <f t="shared" si="6"/>
        <v/>
      </c>
      <c r="I67" s="148" t="e">
        <f t="shared" si="3"/>
        <v>#VALUE!</v>
      </c>
      <c r="J67" s="148">
        <f>SUM($H$14:$H67)</f>
        <v>0</v>
      </c>
      <c r="K67" s="150"/>
      <c r="L67" s="150"/>
    </row>
    <row r="68" spans="1:12" s="151" customFormat="1" x14ac:dyDescent="0.2">
      <c r="A68" s="146" t="str">
        <f>IF(Values_Entered,A67+1,"")</f>
        <v/>
      </c>
      <c r="B68" s="147" t="str">
        <f t="shared" si="0"/>
        <v/>
      </c>
      <c r="C68" s="148" t="str">
        <f t="shared" si="4"/>
        <v/>
      </c>
      <c r="D68" s="148" t="str">
        <f t="shared" si="7"/>
        <v/>
      </c>
      <c r="E68" s="149" t="e">
        <f t="shared" si="1"/>
        <v>#VALUE!</v>
      </c>
      <c r="F68" s="148" t="e">
        <f t="shared" si="2"/>
        <v>#VALUE!</v>
      </c>
      <c r="G68" s="148" t="str">
        <f t="shared" si="5"/>
        <v/>
      </c>
      <c r="H68" s="148" t="str">
        <f t="shared" si="6"/>
        <v/>
      </c>
      <c r="I68" s="148" t="e">
        <f t="shared" si="3"/>
        <v>#VALUE!</v>
      </c>
      <c r="J68" s="148">
        <f>SUM($H$14:$H68)</f>
        <v>0</v>
      </c>
      <c r="K68" s="150"/>
      <c r="L68" s="150"/>
    </row>
    <row r="69" spans="1:12" s="151" customFormat="1" x14ac:dyDescent="0.2">
      <c r="A69" s="146" t="str">
        <f>IF(Values_Entered,A68+1,"")</f>
        <v/>
      </c>
      <c r="B69" s="147" t="str">
        <f t="shared" si="0"/>
        <v/>
      </c>
      <c r="C69" s="148" t="str">
        <f t="shared" si="4"/>
        <v/>
      </c>
      <c r="D69" s="148" t="str">
        <f t="shared" si="7"/>
        <v/>
      </c>
      <c r="E69" s="149" t="e">
        <f t="shared" si="1"/>
        <v>#VALUE!</v>
      </c>
      <c r="F69" s="148" t="e">
        <f t="shared" si="2"/>
        <v>#VALUE!</v>
      </c>
      <c r="G69" s="148" t="str">
        <f t="shared" si="5"/>
        <v/>
      </c>
      <c r="H69" s="148" t="str">
        <f t="shared" si="6"/>
        <v/>
      </c>
      <c r="I69" s="148" t="e">
        <f t="shared" si="3"/>
        <v>#VALUE!</v>
      </c>
      <c r="J69" s="148">
        <f>SUM($H$14:$H69)</f>
        <v>0</v>
      </c>
      <c r="K69" s="150"/>
      <c r="L69" s="150"/>
    </row>
    <row r="70" spans="1:12" s="151" customFormat="1" x14ac:dyDescent="0.2">
      <c r="A70" s="146" t="str">
        <f>IF(Values_Entered,A69+1,"")</f>
        <v/>
      </c>
      <c r="B70" s="147" t="str">
        <f t="shared" si="0"/>
        <v/>
      </c>
      <c r="C70" s="148" t="str">
        <f t="shared" si="4"/>
        <v/>
      </c>
      <c r="D70" s="148" t="str">
        <f t="shared" si="7"/>
        <v/>
      </c>
      <c r="E70" s="149" t="e">
        <f t="shared" si="1"/>
        <v>#VALUE!</v>
      </c>
      <c r="F70" s="148" t="e">
        <f t="shared" si="2"/>
        <v>#VALUE!</v>
      </c>
      <c r="G70" s="148" t="str">
        <f t="shared" si="5"/>
        <v/>
      </c>
      <c r="H70" s="148" t="str">
        <f t="shared" si="6"/>
        <v/>
      </c>
      <c r="I70" s="148" t="e">
        <f t="shared" si="3"/>
        <v>#VALUE!</v>
      </c>
      <c r="J70" s="148">
        <f>SUM($H$14:$H70)</f>
        <v>0</v>
      </c>
      <c r="K70" s="150"/>
      <c r="L70" s="150"/>
    </row>
    <row r="71" spans="1:12" s="151" customFormat="1" x14ac:dyDescent="0.2">
      <c r="A71" s="146" t="str">
        <f>IF(Values_Entered,A70+1,"")</f>
        <v/>
      </c>
      <c r="B71" s="147" t="str">
        <f t="shared" si="0"/>
        <v/>
      </c>
      <c r="C71" s="148" t="str">
        <f t="shared" si="4"/>
        <v/>
      </c>
      <c r="D71" s="148" t="str">
        <f t="shared" si="7"/>
        <v/>
      </c>
      <c r="E71" s="149" t="e">
        <f t="shared" si="1"/>
        <v>#VALUE!</v>
      </c>
      <c r="F71" s="148" t="e">
        <f t="shared" si="2"/>
        <v>#VALUE!</v>
      </c>
      <c r="G71" s="148" t="str">
        <f t="shared" si="5"/>
        <v/>
      </c>
      <c r="H71" s="148" t="str">
        <f t="shared" si="6"/>
        <v/>
      </c>
      <c r="I71" s="148" t="e">
        <f t="shared" si="3"/>
        <v>#VALUE!</v>
      </c>
      <c r="J71" s="148">
        <f>SUM($H$14:$H71)</f>
        <v>0</v>
      </c>
      <c r="K71" s="150"/>
      <c r="L71" s="150"/>
    </row>
    <row r="72" spans="1:12" s="151" customFormat="1" x14ac:dyDescent="0.2">
      <c r="A72" s="146" t="str">
        <f>IF(Values_Entered,A71+1,"")</f>
        <v/>
      </c>
      <c r="B72" s="147" t="str">
        <f t="shared" si="0"/>
        <v/>
      </c>
      <c r="C72" s="148" t="str">
        <f t="shared" si="4"/>
        <v/>
      </c>
      <c r="D72" s="148" t="str">
        <f t="shared" si="7"/>
        <v/>
      </c>
      <c r="E72" s="149" t="e">
        <f t="shared" si="1"/>
        <v>#VALUE!</v>
      </c>
      <c r="F72" s="148" t="e">
        <f t="shared" si="2"/>
        <v>#VALUE!</v>
      </c>
      <c r="G72" s="148" t="str">
        <f t="shared" si="5"/>
        <v/>
      </c>
      <c r="H72" s="148" t="str">
        <f t="shared" si="6"/>
        <v/>
      </c>
      <c r="I72" s="148" t="e">
        <f t="shared" si="3"/>
        <v>#VALUE!</v>
      </c>
      <c r="J72" s="148">
        <f>SUM($H$14:$H72)</f>
        <v>0</v>
      </c>
      <c r="K72" s="150"/>
      <c r="L72" s="150"/>
    </row>
    <row r="73" spans="1:12" s="151" customFormat="1" x14ac:dyDescent="0.2">
      <c r="A73" s="146" t="str">
        <f>IF(Values_Entered,A72+1,"")</f>
        <v/>
      </c>
      <c r="B73" s="147" t="str">
        <f t="shared" si="0"/>
        <v/>
      </c>
      <c r="C73" s="148" t="str">
        <f t="shared" si="4"/>
        <v/>
      </c>
      <c r="D73" s="148" t="str">
        <f t="shared" si="7"/>
        <v/>
      </c>
      <c r="E73" s="149" t="e">
        <f t="shared" si="1"/>
        <v>#VALUE!</v>
      </c>
      <c r="F73" s="148" t="e">
        <f t="shared" si="2"/>
        <v>#VALUE!</v>
      </c>
      <c r="G73" s="148" t="str">
        <f t="shared" si="5"/>
        <v/>
      </c>
      <c r="H73" s="148" t="str">
        <f t="shared" si="6"/>
        <v/>
      </c>
      <c r="I73" s="148" t="e">
        <f t="shared" si="3"/>
        <v>#VALUE!</v>
      </c>
      <c r="J73" s="148">
        <f>SUM($H$14:$H73)</f>
        <v>0</v>
      </c>
      <c r="K73" s="150"/>
      <c r="L73" s="150"/>
    </row>
    <row r="74" spans="1:12" s="151" customFormat="1" x14ac:dyDescent="0.2">
      <c r="A74" s="146" t="str">
        <f>IF(Values_Entered,A73+1,"")</f>
        <v/>
      </c>
      <c r="B74" s="147" t="str">
        <f t="shared" si="0"/>
        <v/>
      </c>
      <c r="C74" s="148" t="str">
        <f t="shared" si="4"/>
        <v/>
      </c>
      <c r="D74" s="148" t="str">
        <f t="shared" si="7"/>
        <v/>
      </c>
      <c r="E74" s="149" t="e">
        <f t="shared" si="1"/>
        <v>#VALUE!</v>
      </c>
      <c r="F74" s="148" t="e">
        <f t="shared" si="2"/>
        <v>#VALUE!</v>
      </c>
      <c r="G74" s="148" t="str">
        <f t="shared" si="5"/>
        <v/>
      </c>
      <c r="H74" s="148" t="str">
        <f t="shared" si="6"/>
        <v/>
      </c>
      <c r="I74" s="148" t="e">
        <f t="shared" si="3"/>
        <v>#VALUE!</v>
      </c>
      <c r="J74" s="148">
        <f>SUM($H$14:$H74)</f>
        <v>0</v>
      </c>
      <c r="K74" s="150"/>
      <c r="L74" s="150"/>
    </row>
    <row r="75" spans="1:12" s="151" customFormat="1" x14ac:dyDescent="0.2">
      <c r="A75" s="146" t="str">
        <f>IF(Values_Entered,A74+1,"")</f>
        <v/>
      </c>
      <c r="B75" s="147" t="str">
        <f t="shared" si="0"/>
        <v/>
      </c>
      <c r="C75" s="148" t="str">
        <f t="shared" si="4"/>
        <v/>
      </c>
      <c r="D75" s="148" t="str">
        <f t="shared" si="7"/>
        <v/>
      </c>
      <c r="E75" s="149" t="e">
        <f t="shared" si="1"/>
        <v>#VALUE!</v>
      </c>
      <c r="F75" s="148" t="e">
        <f t="shared" si="2"/>
        <v>#VALUE!</v>
      </c>
      <c r="G75" s="148" t="str">
        <f t="shared" si="5"/>
        <v/>
      </c>
      <c r="H75" s="148" t="str">
        <f t="shared" si="6"/>
        <v/>
      </c>
      <c r="I75" s="148" t="e">
        <f t="shared" si="3"/>
        <v>#VALUE!</v>
      </c>
      <c r="J75" s="148">
        <f>SUM($H$14:$H75)</f>
        <v>0</v>
      </c>
      <c r="K75" s="150"/>
      <c r="L75" s="150"/>
    </row>
    <row r="76" spans="1:12" s="151" customFormat="1" x14ac:dyDescent="0.2">
      <c r="A76" s="146" t="str">
        <f>IF(Values_Entered,A75+1,"")</f>
        <v/>
      </c>
      <c r="B76" s="147" t="str">
        <f t="shared" si="0"/>
        <v/>
      </c>
      <c r="C76" s="148" t="str">
        <f t="shared" si="4"/>
        <v/>
      </c>
      <c r="D76" s="148" t="str">
        <f t="shared" si="7"/>
        <v/>
      </c>
      <c r="E76" s="149" t="e">
        <f t="shared" si="1"/>
        <v>#VALUE!</v>
      </c>
      <c r="F76" s="148" t="e">
        <f t="shared" si="2"/>
        <v>#VALUE!</v>
      </c>
      <c r="G76" s="148" t="str">
        <f t="shared" si="5"/>
        <v/>
      </c>
      <c r="H76" s="148" t="str">
        <f t="shared" si="6"/>
        <v/>
      </c>
      <c r="I76" s="148" t="e">
        <f t="shared" si="3"/>
        <v>#VALUE!</v>
      </c>
      <c r="J76" s="148">
        <f>SUM($H$14:$H76)</f>
        <v>0</v>
      </c>
      <c r="K76" s="150"/>
      <c r="L76" s="150"/>
    </row>
    <row r="77" spans="1:12" s="151" customFormat="1" x14ac:dyDescent="0.2">
      <c r="A77" s="146" t="str">
        <f>IF(Values_Entered,A76+1,"")</f>
        <v/>
      </c>
      <c r="B77" s="147" t="str">
        <f t="shared" si="0"/>
        <v/>
      </c>
      <c r="C77" s="148" t="str">
        <f t="shared" si="4"/>
        <v/>
      </c>
      <c r="D77" s="148" t="str">
        <f t="shared" si="7"/>
        <v/>
      </c>
      <c r="E77" s="149" t="e">
        <f t="shared" si="1"/>
        <v>#VALUE!</v>
      </c>
      <c r="F77" s="148" t="e">
        <f t="shared" si="2"/>
        <v>#VALUE!</v>
      </c>
      <c r="G77" s="148" t="str">
        <f t="shared" si="5"/>
        <v/>
      </c>
      <c r="H77" s="148" t="str">
        <f t="shared" si="6"/>
        <v/>
      </c>
      <c r="I77" s="148" t="e">
        <f t="shared" si="3"/>
        <v>#VALUE!</v>
      </c>
      <c r="J77" s="148">
        <f>SUM($H$14:$H77)</f>
        <v>0</v>
      </c>
      <c r="K77" s="150"/>
      <c r="L77" s="150"/>
    </row>
    <row r="78" spans="1:12" s="151" customFormat="1" x14ac:dyDescent="0.2">
      <c r="A78" s="146" t="str">
        <f>IF(Values_Entered,A77+1,"")</f>
        <v/>
      </c>
      <c r="B78" s="147" t="str">
        <f t="shared" ref="B78:B141" si="8">IF(Pay_Num&lt;&gt;"",DATE(YEAR(Loan_Start),MONTH(Loan_Start)+(Pay_Num)*12/Num_Pmt_Per_Year,DAY(Loan_Start)),"")</f>
        <v/>
      </c>
      <c r="C78" s="148" t="str">
        <f t="shared" si="4"/>
        <v/>
      </c>
      <c r="D78" s="148" t="str">
        <f t="shared" si="7"/>
        <v/>
      </c>
      <c r="E78" s="149" t="e">
        <f t="shared" ref="E78:E141" si="9">IF(AND(Pay_Num&lt;&gt;"",Sched_Pay+Scheduled_Extra_Payments&lt;Beg_Bal),Scheduled_Extra_Payments,IF(AND(Pay_Num&lt;&gt;"",Beg_Bal-Sched_Pay&gt;0),Beg_Bal-Sched_Pay,IF(Pay_Num&lt;&gt;"",0,"")))</f>
        <v>#VALUE!</v>
      </c>
      <c r="F78" s="148" t="e">
        <f t="shared" ref="F78:F141" si="10">IF(AND(Pay_Num&lt;&gt;"",Sched_Pay+Extra_Pay&lt;Beg_Bal),Sched_Pay+Extra_Pay,IF(Pay_Num&lt;&gt;"",Beg_Bal,""))</f>
        <v>#VALUE!</v>
      </c>
      <c r="G78" s="148" t="str">
        <f t="shared" si="5"/>
        <v/>
      </c>
      <c r="H78" s="148" t="str">
        <f t="shared" si="6"/>
        <v/>
      </c>
      <c r="I78" s="148" t="e">
        <f t="shared" ref="I78:I141" si="11">IF(AND(Pay_Num&lt;&gt;"",Sched_Pay+Extra_Pay&lt;Beg_Bal),Beg_Bal-Princ,IF(Pay_Num&lt;&gt;"",0,""))</f>
        <v>#VALUE!</v>
      </c>
      <c r="J78" s="148">
        <f>SUM($H$14:$H78)</f>
        <v>0</v>
      </c>
      <c r="K78" s="150"/>
      <c r="L78" s="150"/>
    </row>
    <row r="79" spans="1:12" s="151" customFormat="1" x14ac:dyDescent="0.2">
      <c r="A79" s="146" t="str">
        <f>IF(Values_Entered,A78+1,"")</f>
        <v/>
      </c>
      <c r="B79" s="147" t="str">
        <f t="shared" si="8"/>
        <v/>
      </c>
      <c r="C79" s="148" t="str">
        <f t="shared" ref="C79:C142" si="12">IF(Pay_Num&lt;&gt;"",I78,"")</f>
        <v/>
      </c>
      <c r="D79" s="148" t="str">
        <f t="shared" si="7"/>
        <v/>
      </c>
      <c r="E79" s="149" t="e">
        <f t="shared" si="9"/>
        <v>#VALUE!</v>
      </c>
      <c r="F79" s="148" t="e">
        <f t="shared" si="10"/>
        <v>#VALUE!</v>
      </c>
      <c r="G79" s="148" t="str">
        <f t="shared" ref="G79:G142" si="13">IF(Pay_Num&lt;&gt;"",Total_Pay-Int,"")</f>
        <v/>
      </c>
      <c r="H79" s="148" t="str">
        <f t="shared" ref="H79:H142" si="14">IF(Pay_Num&lt;&gt;"",Beg_Bal*Interest_Rate/Num_Pmt_Per_Year,"")</f>
        <v/>
      </c>
      <c r="I79" s="148" t="e">
        <f t="shared" si="11"/>
        <v>#VALUE!</v>
      </c>
      <c r="J79" s="148">
        <f>SUM($H$14:$H79)</f>
        <v>0</v>
      </c>
      <c r="K79" s="150"/>
      <c r="L79" s="150"/>
    </row>
    <row r="80" spans="1:12" s="151" customFormat="1" x14ac:dyDescent="0.2">
      <c r="A80" s="146" t="str">
        <f>IF(Values_Entered,A79+1,"")</f>
        <v/>
      </c>
      <c r="B80" s="147" t="str">
        <f t="shared" si="8"/>
        <v/>
      </c>
      <c r="C80" s="148" t="str">
        <f t="shared" si="12"/>
        <v/>
      </c>
      <c r="D80" s="148" t="str">
        <f t="shared" ref="D80:D143" si="15">IF(Pay_Num&lt;&gt;"",Scheduled_Monthly_Payment,"")</f>
        <v/>
      </c>
      <c r="E80" s="149" t="e">
        <f t="shared" si="9"/>
        <v>#VALUE!</v>
      </c>
      <c r="F80" s="148" t="e">
        <f t="shared" si="10"/>
        <v>#VALUE!</v>
      </c>
      <c r="G80" s="148" t="str">
        <f t="shared" si="13"/>
        <v/>
      </c>
      <c r="H80" s="148" t="str">
        <f t="shared" si="14"/>
        <v/>
      </c>
      <c r="I80" s="148" t="e">
        <f t="shared" si="11"/>
        <v>#VALUE!</v>
      </c>
      <c r="J80" s="148">
        <f>SUM($H$14:$H80)</f>
        <v>0</v>
      </c>
      <c r="K80" s="150"/>
      <c r="L80" s="150"/>
    </row>
    <row r="81" spans="1:12" s="151" customFormat="1" x14ac:dyDescent="0.2">
      <c r="A81" s="146" t="str">
        <f>IF(Values_Entered,A80+1,"")</f>
        <v/>
      </c>
      <c r="B81" s="147" t="str">
        <f t="shared" si="8"/>
        <v/>
      </c>
      <c r="C81" s="148" t="str">
        <f t="shared" si="12"/>
        <v/>
      </c>
      <c r="D81" s="148" t="str">
        <f t="shared" si="15"/>
        <v/>
      </c>
      <c r="E81" s="149" t="e">
        <f t="shared" si="9"/>
        <v>#VALUE!</v>
      </c>
      <c r="F81" s="148" t="e">
        <f t="shared" si="10"/>
        <v>#VALUE!</v>
      </c>
      <c r="G81" s="148" t="str">
        <f t="shared" si="13"/>
        <v/>
      </c>
      <c r="H81" s="148" t="str">
        <f t="shared" si="14"/>
        <v/>
      </c>
      <c r="I81" s="148" t="e">
        <f t="shared" si="11"/>
        <v>#VALUE!</v>
      </c>
      <c r="J81" s="148">
        <f>SUM($H$14:$H81)</f>
        <v>0</v>
      </c>
      <c r="K81" s="150"/>
      <c r="L81" s="150"/>
    </row>
    <row r="82" spans="1:12" s="151" customFormat="1" x14ac:dyDescent="0.2">
      <c r="A82" s="146" t="str">
        <f>IF(Values_Entered,A81+1,"")</f>
        <v/>
      </c>
      <c r="B82" s="147" t="str">
        <f t="shared" si="8"/>
        <v/>
      </c>
      <c r="C82" s="148" t="str">
        <f t="shared" si="12"/>
        <v/>
      </c>
      <c r="D82" s="148" t="str">
        <f t="shared" si="15"/>
        <v/>
      </c>
      <c r="E82" s="149" t="e">
        <f t="shared" si="9"/>
        <v>#VALUE!</v>
      </c>
      <c r="F82" s="148" t="e">
        <f t="shared" si="10"/>
        <v>#VALUE!</v>
      </c>
      <c r="G82" s="148" t="str">
        <f t="shared" si="13"/>
        <v/>
      </c>
      <c r="H82" s="148" t="str">
        <f t="shared" si="14"/>
        <v/>
      </c>
      <c r="I82" s="148" t="e">
        <f t="shared" si="11"/>
        <v>#VALUE!</v>
      </c>
      <c r="J82" s="148">
        <f>SUM($H$14:$H82)</f>
        <v>0</v>
      </c>
      <c r="K82" s="150"/>
      <c r="L82" s="150"/>
    </row>
    <row r="83" spans="1:12" s="151" customFormat="1" x14ac:dyDescent="0.2">
      <c r="A83" s="146" t="str">
        <f>IF(Values_Entered,A82+1,"")</f>
        <v/>
      </c>
      <c r="B83" s="147" t="str">
        <f t="shared" si="8"/>
        <v/>
      </c>
      <c r="C83" s="148" t="str">
        <f t="shared" si="12"/>
        <v/>
      </c>
      <c r="D83" s="148" t="str">
        <f t="shared" si="15"/>
        <v/>
      </c>
      <c r="E83" s="149" t="e">
        <f t="shared" si="9"/>
        <v>#VALUE!</v>
      </c>
      <c r="F83" s="148" t="e">
        <f t="shared" si="10"/>
        <v>#VALUE!</v>
      </c>
      <c r="G83" s="148" t="str">
        <f t="shared" si="13"/>
        <v/>
      </c>
      <c r="H83" s="148" t="str">
        <f t="shared" si="14"/>
        <v/>
      </c>
      <c r="I83" s="148" t="e">
        <f t="shared" si="11"/>
        <v>#VALUE!</v>
      </c>
      <c r="J83" s="148">
        <f>SUM($H$14:$H83)</f>
        <v>0</v>
      </c>
      <c r="K83" s="150"/>
      <c r="L83" s="150"/>
    </row>
    <row r="84" spans="1:12" s="151" customFormat="1" x14ac:dyDescent="0.2">
      <c r="A84" s="146" t="str">
        <f>IF(Values_Entered,A83+1,"")</f>
        <v/>
      </c>
      <c r="B84" s="147" t="str">
        <f t="shared" si="8"/>
        <v/>
      </c>
      <c r="C84" s="148" t="str">
        <f t="shared" si="12"/>
        <v/>
      </c>
      <c r="D84" s="148" t="str">
        <f t="shared" si="15"/>
        <v/>
      </c>
      <c r="E84" s="149" t="e">
        <f t="shared" si="9"/>
        <v>#VALUE!</v>
      </c>
      <c r="F84" s="148" t="e">
        <f t="shared" si="10"/>
        <v>#VALUE!</v>
      </c>
      <c r="G84" s="148" t="str">
        <f t="shared" si="13"/>
        <v/>
      </c>
      <c r="H84" s="148" t="str">
        <f t="shared" si="14"/>
        <v/>
      </c>
      <c r="I84" s="148" t="e">
        <f t="shared" si="11"/>
        <v>#VALUE!</v>
      </c>
      <c r="J84" s="148">
        <f>SUM($H$14:$H84)</f>
        <v>0</v>
      </c>
      <c r="K84" s="150"/>
      <c r="L84" s="150"/>
    </row>
    <row r="85" spans="1:12" s="151" customFormat="1" x14ac:dyDescent="0.2">
      <c r="A85" s="146" t="str">
        <f>IF(Values_Entered,A84+1,"")</f>
        <v/>
      </c>
      <c r="B85" s="147" t="str">
        <f t="shared" si="8"/>
        <v/>
      </c>
      <c r="C85" s="148" t="str">
        <f t="shared" si="12"/>
        <v/>
      </c>
      <c r="D85" s="148" t="str">
        <f t="shared" si="15"/>
        <v/>
      </c>
      <c r="E85" s="149" t="e">
        <f t="shared" si="9"/>
        <v>#VALUE!</v>
      </c>
      <c r="F85" s="148" t="e">
        <f t="shared" si="10"/>
        <v>#VALUE!</v>
      </c>
      <c r="G85" s="148" t="str">
        <f t="shared" si="13"/>
        <v/>
      </c>
      <c r="H85" s="148" t="str">
        <f t="shared" si="14"/>
        <v/>
      </c>
      <c r="I85" s="148" t="e">
        <f t="shared" si="11"/>
        <v>#VALUE!</v>
      </c>
      <c r="J85" s="148">
        <f>SUM($H$14:$H85)</f>
        <v>0</v>
      </c>
      <c r="K85" s="150"/>
      <c r="L85" s="150"/>
    </row>
    <row r="86" spans="1:12" s="151" customFormat="1" x14ac:dyDescent="0.2">
      <c r="A86" s="146" t="str">
        <f>IF(Values_Entered,A85+1,"")</f>
        <v/>
      </c>
      <c r="B86" s="147" t="str">
        <f t="shared" si="8"/>
        <v/>
      </c>
      <c r="C86" s="148" t="str">
        <f t="shared" si="12"/>
        <v/>
      </c>
      <c r="D86" s="148" t="str">
        <f t="shared" si="15"/>
        <v/>
      </c>
      <c r="E86" s="149" t="e">
        <f t="shared" si="9"/>
        <v>#VALUE!</v>
      </c>
      <c r="F86" s="148" t="e">
        <f t="shared" si="10"/>
        <v>#VALUE!</v>
      </c>
      <c r="G86" s="148" t="str">
        <f t="shared" si="13"/>
        <v/>
      </c>
      <c r="H86" s="148" t="str">
        <f t="shared" si="14"/>
        <v/>
      </c>
      <c r="I86" s="148" t="e">
        <f t="shared" si="11"/>
        <v>#VALUE!</v>
      </c>
      <c r="J86" s="148">
        <f>SUM($H$14:$H86)</f>
        <v>0</v>
      </c>
      <c r="K86" s="150"/>
      <c r="L86" s="150"/>
    </row>
    <row r="87" spans="1:12" s="151" customFormat="1" x14ac:dyDescent="0.2">
      <c r="A87" s="146" t="str">
        <f>IF(Values_Entered,A86+1,"")</f>
        <v/>
      </c>
      <c r="B87" s="147" t="str">
        <f t="shared" si="8"/>
        <v/>
      </c>
      <c r="C87" s="148" t="str">
        <f t="shared" si="12"/>
        <v/>
      </c>
      <c r="D87" s="148" t="str">
        <f t="shared" si="15"/>
        <v/>
      </c>
      <c r="E87" s="149" t="e">
        <f t="shared" si="9"/>
        <v>#VALUE!</v>
      </c>
      <c r="F87" s="148" t="e">
        <f t="shared" si="10"/>
        <v>#VALUE!</v>
      </c>
      <c r="G87" s="148" t="str">
        <f t="shared" si="13"/>
        <v/>
      </c>
      <c r="H87" s="148" t="str">
        <f t="shared" si="14"/>
        <v/>
      </c>
      <c r="I87" s="148" t="e">
        <f t="shared" si="11"/>
        <v>#VALUE!</v>
      </c>
      <c r="J87" s="148">
        <f>SUM($H$14:$H87)</f>
        <v>0</v>
      </c>
      <c r="K87" s="150"/>
      <c r="L87" s="150"/>
    </row>
    <row r="88" spans="1:12" s="151" customFormat="1" x14ac:dyDescent="0.2">
      <c r="A88" s="146" t="str">
        <f>IF(Values_Entered,A87+1,"")</f>
        <v/>
      </c>
      <c r="B88" s="147" t="str">
        <f t="shared" si="8"/>
        <v/>
      </c>
      <c r="C88" s="148" t="str">
        <f t="shared" si="12"/>
        <v/>
      </c>
      <c r="D88" s="148" t="str">
        <f t="shared" si="15"/>
        <v/>
      </c>
      <c r="E88" s="149" t="e">
        <f t="shared" si="9"/>
        <v>#VALUE!</v>
      </c>
      <c r="F88" s="148" t="e">
        <f t="shared" si="10"/>
        <v>#VALUE!</v>
      </c>
      <c r="G88" s="148" t="str">
        <f t="shared" si="13"/>
        <v/>
      </c>
      <c r="H88" s="148" t="str">
        <f t="shared" si="14"/>
        <v/>
      </c>
      <c r="I88" s="148" t="e">
        <f t="shared" si="11"/>
        <v>#VALUE!</v>
      </c>
      <c r="J88" s="148">
        <f>SUM($H$14:$H88)</f>
        <v>0</v>
      </c>
      <c r="K88" s="150"/>
      <c r="L88" s="150"/>
    </row>
    <row r="89" spans="1:12" s="151" customFormat="1" x14ac:dyDescent="0.2">
      <c r="A89" s="146" t="str">
        <f>IF(Values_Entered,A88+1,"")</f>
        <v/>
      </c>
      <c r="B89" s="147" t="str">
        <f t="shared" si="8"/>
        <v/>
      </c>
      <c r="C89" s="148" t="str">
        <f t="shared" si="12"/>
        <v/>
      </c>
      <c r="D89" s="148" t="str">
        <f t="shared" si="15"/>
        <v/>
      </c>
      <c r="E89" s="149" t="e">
        <f t="shared" si="9"/>
        <v>#VALUE!</v>
      </c>
      <c r="F89" s="148" t="e">
        <f t="shared" si="10"/>
        <v>#VALUE!</v>
      </c>
      <c r="G89" s="148" t="str">
        <f t="shared" si="13"/>
        <v/>
      </c>
      <c r="H89" s="148" t="str">
        <f t="shared" si="14"/>
        <v/>
      </c>
      <c r="I89" s="148" t="e">
        <f t="shared" si="11"/>
        <v>#VALUE!</v>
      </c>
      <c r="J89" s="148">
        <f>SUM($H$14:$H89)</f>
        <v>0</v>
      </c>
      <c r="K89" s="150"/>
      <c r="L89" s="150"/>
    </row>
    <row r="90" spans="1:12" s="151" customFormat="1" x14ac:dyDescent="0.2">
      <c r="A90" s="146" t="str">
        <f>IF(Values_Entered,A89+1,"")</f>
        <v/>
      </c>
      <c r="B90" s="147" t="str">
        <f t="shared" si="8"/>
        <v/>
      </c>
      <c r="C90" s="148" t="str">
        <f t="shared" si="12"/>
        <v/>
      </c>
      <c r="D90" s="148" t="str">
        <f t="shared" si="15"/>
        <v/>
      </c>
      <c r="E90" s="149" t="e">
        <f t="shared" si="9"/>
        <v>#VALUE!</v>
      </c>
      <c r="F90" s="148" t="e">
        <f t="shared" si="10"/>
        <v>#VALUE!</v>
      </c>
      <c r="G90" s="148" t="str">
        <f t="shared" si="13"/>
        <v/>
      </c>
      <c r="H90" s="148" t="str">
        <f t="shared" si="14"/>
        <v/>
      </c>
      <c r="I90" s="148" t="e">
        <f t="shared" si="11"/>
        <v>#VALUE!</v>
      </c>
      <c r="J90" s="148">
        <f>SUM($H$14:$H90)</f>
        <v>0</v>
      </c>
      <c r="K90" s="150"/>
      <c r="L90" s="150"/>
    </row>
    <row r="91" spans="1:12" s="151" customFormat="1" x14ac:dyDescent="0.2">
      <c r="A91" s="146" t="str">
        <f>IF(Values_Entered,A90+1,"")</f>
        <v/>
      </c>
      <c r="B91" s="147" t="str">
        <f t="shared" si="8"/>
        <v/>
      </c>
      <c r="C91" s="148" t="str">
        <f t="shared" si="12"/>
        <v/>
      </c>
      <c r="D91" s="148" t="str">
        <f t="shared" si="15"/>
        <v/>
      </c>
      <c r="E91" s="149" t="e">
        <f t="shared" si="9"/>
        <v>#VALUE!</v>
      </c>
      <c r="F91" s="148" t="e">
        <f t="shared" si="10"/>
        <v>#VALUE!</v>
      </c>
      <c r="G91" s="148" t="str">
        <f t="shared" si="13"/>
        <v/>
      </c>
      <c r="H91" s="148" t="str">
        <f t="shared" si="14"/>
        <v/>
      </c>
      <c r="I91" s="148" t="e">
        <f t="shared" si="11"/>
        <v>#VALUE!</v>
      </c>
      <c r="J91" s="148">
        <f>SUM($H$14:$H91)</f>
        <v>0</v>
      </c>
      <c r="K91" s="150"/>
      <c r="L91" s="150"/>
    </row>
    <row r="92" spans="1:12" s="151" customFormat="1" x14ac:dyDescent="0.2">
      <c r="A92" s="146" t="str">
        <f>IF(Values_Entered,A91+1,"")</f>
        <v/>
      </c>
      <c r="B92" s="147" t="str">
        <f t="shared" si="8"/>
        <v/>
      </c>
      <c r="C92" s="148" t="str">
        <f t="shared" si="12"/>
        <v/>
      </c>
      <c r="D92" s="148" t="str">
        <f t="shared" si="15"/>
        <v/>
      </c>
      <c r="E92" s="149" t="e">
        <f t="shared" si="9"/>
        <v>#VALUE!</v>
      </c>
      <c r="F92" s="148" t="e">
        <f t="shared" si="10"/>
        <v>#VALUE!</v>
      </c>
      <c r="G92" s="148" t="str">
        <f t="shared" si="13"/>
        <v/>
      </c>
      <c r="H92" s="148" t="str">
        <f t="shared" si="14"/>
        <v/>
      </c>
      <c r="I92" s="148" t="e">
        <f t="shared" si="11"/>
        <v>#VALUE!</v>
      </c>
      <c r="J92" s="148">
        <f>SUM($H$14:$H92)</f>
        <v>0</v>
      </c>
      <c r="K92" s="150"/>
      <c r="L92" s="150"/>
    </row>
    <row r="93" spans="1:12" s="151" customFormat="1" x14ac:dyDescent="0.2">
      <c r="A93" s="146" t="str">
        <f>IF(Values_Entered,A92+1,"")</f>
        <v/>
      </c>
      <c r="B93" s="147" t="str">
        <f t="shared" si="8"/>
        <v/>
      </c>
      <c r="C93" s="148" t="str">
        <f t="shared" si="12"/>
        <v/>
      </c>
      <c r="D93" s="148" t="str">
        <f t="shared" si="15"/>
        <v/>
      </c>
      <c r="E93" s="149" t="e">
        <f t="shared" si="9"/>
        <v>#VALUE!</v>
      </c>
      <c r="F93" s="148" t="e">
        <f t="shared" si="10"/>
        <v>#VALUE!</v>
      </c>
      <c r="G93" s="148" t="str">
        <f t="shared" si="13"/>
        <v/>
      </c>
      <c r="H93" s="148" t="str">
        <f t="shared" si="14"/>
        <v/>
      </c>
      <c r="I93" s="148" t="e">
        <f t="shared" si="11"/>
        <v>#VALUE!</v>
      </c>
      <c r="J93" s="148">
        <f>SUM($H$14:$H93)</f>
        <v>0</v>
      </c>
      <c r="K93" s="150"/>
      <c r="L93" s="150"/>
    </row>
    <row r="94" spans="1:12" s="151" customFormat="1" x14ac:dyDescent="0.2">
      <c r="A94" s="146" t="str">
        <f>IF(Values_Entered,A93+1,"")</f>
        <v/>
      </c>
      <c r="B94" s="147" t="str">
        <f t="shared" si="8"/>
        <v/>
      </c>
      <c r="C94" s="148" t="str">
        <f t="shared" si="12"/>
        <v/>
      </c>
      <c r="D94" s="148" t="str">
        <f t="shared" si="15"/>
        <v/>
      </c>
      <c r="E94" s="149" t="e">
        <f t="shared" si="9"/>
        <v>#VALUE!</v>
      </c>
      <c r="F94" s="148" t="e">
        <f t="shared" si="10"/>
        <v>#VALUE!</v>
      </c>
      <c r="G94" s="148" t="str">
        <f t="shared" si="13"/>
        <v/>
      </c>
      <c r="H94" s="148" t="str">
        <f t="shared" si="14"/>
        <v/>
      </c>
      <c r="I94" s="148" t="e">
        <f t="shared" si="11"/>
        <v>#VALUE!</v>
      </c>
      <c r="J94" s="148">
        <f>SUM($H$14:$H94)</f>
        <v>0</v>
      </c>
      <c r="K94" s="150"/>
      <c r="L94" s="150"/>
    </row>
    <row r="95" spans="1:12" s="151" customFormat="1" x14ac:dyDescent="0.2">
      <c r="A95" s="146" t="str">
        <f>IF(Values_Entered,A94+1,"")</f>
        <v/>
      </c>
      <c r="B95" s="147" t="str">
        <f t="shared" si="8"/>
        <v/>
      </c>
      <c r="C95" s="148" t="str">
        <f t="shared" si="12"/>
        <v/>
      </c>
      <c r="D95" s="148" t="str">
        <f t="shared" si="15"/>
        <v/>
      </c>
      <c r="E95" s="149" t="e">
        <f t="shared" si="9"/>
        <v>#VALUE!</v>
      </c>
      <c r="F95" s="148" t="e">
        <f t="shared" si="10"/>
        <v>#VALUE!</v>
      </c>
      <c r="G95" s="148" t="str">
        <f t="shared" si="13"/>
        <v/>
      </c>
      <c r="H95" s="148" t="str">
        <f t="shared" si="14"/>
        <v/>
      </c>
      <c r="I95" s="148" t="e">
        <f t="shared" si="11"/>
        <v>#VALUE!</v>
      </c>
      <c r="J95" s="148">
        <f>SUM($H$14:$H95)</f>
        <v>0</v>
      </c>
      <c r="K95" s="150"/>
      <c r="L95" s="150"/>
    </row>
    <row r="96" spans="1:12" s="151" customFormat="1" x14ac:dyDescent="0.2">
      <c r="A96" s="146" t="str">
        <f>IF(Values_Entered,A95+1,"")</f>
        <v/>
      </c>
      <c r="B96" s="147" t="str">
        <f t="shared" si="8"/>
        <v/>
      </c>
      <c r="C96" s="148" t="str">
        <f t="shared" si="12"/>
        <v/>
      </c>
      <c r="D96" s="148" t="str">
        <f t="shared" si="15"/>
        <v/>
      </c>
      <c r="E96" s="149" t="e">
        <f t="shared" si="9"/>
        <v>#VALUE!</v>
      </c>
      <c r="F96" s="148" t="e">
        <f t="shared" si="10"/>
        <v>#VALUE!</v>
      </c>
      <c r="G96" s="148" t="str">
        <f t="shared" si="13"/>
        <v/>
      </c>
      <c r="H96" s="148" t="str">
        <f t="shared" si="14"/>
        <v/>
      </c>
      <c r="I96" s="148" t="e">
        <f t="shared" si="11"/>
        <v>#VALUE!</v>
      </c>
      <c r="J96" s="148">
        <f>SUM($H$14:$H96)</f>
        <v>0</v>
      </c>
      <c r="K96" s="150"/>
      <c r="L96" s="150"/>
    </row>
    <row r="97" spans="1:12" s="151" customFormat="1" x14ac:dyDescent="0.2">
      <c r="A97" s="146" t="str">
        <f>IF(Values_Entered,A96+1,"")</f>
        <v/>
      </c>
      <c r="B97" s="147" t="str">
        <f t="shared" si="8"/>
        <v/>
      </c>
      <c r="C97" s="148" t="str">
        <f t="shared" si="12"/>
        <v/>
      </c>
      <c r="D97" s="148" t="str">
        <f t="shared" si="15"/>
        <v/>
      </c>
      <c r="E97" s="149" t="e">
        <f t="shared" si="9"/>
        <v>#VALUE!</v>
      </c>
      <c r="F97" s="148" t="e">
        <f t="shared" si="10"/>
        <v>#VALUE!</v>
      </c>
      <c r="G97" s="148" t="str">
        <f t="shared" si="13"/>
        <v/>
      </c>
      <c r="H97" s="148" t="str">
        <f t="shared" si="14"/>
        <v/>
      </c>
      <c r="I97" s="148" t="e">
        <f t="shared" si="11"/>
        <v>#VALUE!</v>
      </c>
      <c r="J97" s="148">
        <f>SUM($H$14:$H97)</f>
        <v>0</v>
      </c>
      <c r="K97" s="150"/>
      <c r="L97" s="150"/>
    </row>
    <row r="98" spans="1:12" s="151" customFormat="1" x14ac:dyDescent="0.2">
      <c r="A98" s="146" t="str">
        <f>IF(Values_Entered,A97+1,"")</f>
        <v/>
      </c>
      <c r="B98" s="147" t="str">
        <f t="shared" si="8"/>
        <v/>
      </c>
      <c r="C98" s="148" t="str">
        <f t="shared" si="12"/>
        <v/>
      </c>
      <c r="D98" s="148" t="str">
        <f t="shared" si="15"/>
        <v/>
      </c>
      <c r="E98" s="149" t="e">
        <f t="shared" si="9"/>
        <v>#VALUE!</v>
      </c>
      <c r="F98" s="148" t="e">
        <f t="shared" si="10"/>
        <v>#VALUE!</v>
      </c>
      <c r="G98" s="148" t="str">
        <f t="shared" si="13"/>
        <v/>
      </c>
      <c r="H98" s="148" t="str">
        <f t="shared" si="14"/>
        <v/>
      </c>
      <c r="I98" s="148" t="e">
        <f t="shared" si="11"/>
        <v>#VALUE!</v>
      </c>
      <c r="J98" s="148">
        <f>SUM($H$14:$H98)</f>
        <v>0</v>
      </c>
      <c r="K98" s="150"/>
      <c r="L98" s="150"/>
    </row>
    <row r="99" spans="1:12" s="151" customFormat="1" x14ac:dyDescent="0.2">
      <c r="A99" s="146" t="str">
        <f>IF(Values_Entered,A98+1,"")</f>
        <v/>
      </c>
      <c r="B99" s="147" t="str">
        <f t="shared" si="8"/>
        <v/>
      </c>
      <c r="C99" s="148" t="str">
        <f t="shared" si="12"/>
        <v/>
      </c>
      <c r="D99" s="148" t="str">
        <f t="shared" si="15"/>
        <v/>
      </c>
      <c r="E99" s="149" t="e">
        <f t="shared" si="9"/>
        <v>#VALUE!</v>
      </c>
      <c r="F99" s="148" t="e">
        <f t="shared" si="10"/>
        <v>#VALUE!</v>
      </c>
      <c r="G99" s="148" t="str">
        <f t="shared" si="13"/>
        <v/>
      </c>
      <c r="H99" s="148" t="str">
        <f t="shared" si="14"/>
        <v/>
      </c>
      <c r="I99" s="148" t="e">
        <f t="shared" si="11"/>
        <v>#VALUE!</v>
      </c>
      <c r="J99" s="148">
        <f>SUM($H$14:$H99)</f>
        <v>0</v>
      </c>
      <c r="K99" s="150"/>
      <c r="L99" s="150"/>
    </row>
    <row r="100" spans="1:12" s="151" customFormat="1" x14ac:dyDescent="0.2">
      <c r="A100" s="146" t="str">
        <f>IF(Values_Entered,A99+1,"")</f>
        <v/>
      </c>
      <c r="B100" s="147" t="str">
        <f t="shared" si="8"/>
        <v/>
      </c>
      <c r="C100" s="148" t="str">
        <f t="shared" si="12"/>
        <v/>
      </c>
      <c r="D100" s="148" t="str">
        <f t="shared" si="15"/>
        <v/>
      </c>
      <c r="E100" s="149" t="e">
        <f t="shared" si="9"/>
        <v>#VALUE!</v>
      </c>
      <c r="F100" s="148" t="e">
        <f t="shared" si="10"/>
        <v>#VALUE!</v>
      </c>
      <c r="G100" s="148" t="str">
        <f t="shared" si="13"/>
        <v/>
      </c>
      <c r="H100" s="148" t="str">
        <f t="shared" si="14"/>
        <v/>
      </c>
      <c r="I100" s="148" t="e">
        <f t="shared" si="11"/>
        <v>#VALUE!</v>
      </c>
      <c r="J100" s="148">
        <f>SUM($H$14:$H100)</f>
        <v>0</v>
      </c>
      <c r="K100" s="150"/>
      <c r="L100" s="150"/>
    </row>
    <row r="101" spans="1:12" s="151" customFormat="1" x14ac:dyDescent="0.2">
      <c r="A101" s="146" t="str">
        <f>IF(Values_Entered,A100+1,"")</f>
        <v/>
      </c>
      <c r="B101" s="147" t="str">
        <f t="shared" si="8"/>
        <v/>
      </c>
      <c r="C101" s="148" t="str">
        <f t="shared" si="12"/>
        <v/>
      </c>
      <c r="D101" s="148" t="str">
        <f t="shared" si="15"/>
        <v/>
      </c>
      <c r="E101" s="149" t="e">
        <f t="shared" si="9"/>
        <v>#VALUE!</v>
      </c>
      <c r="F101" s="148" t="e">
        <f t="shared" si="10"/>
        <v>#VALUE!</v>
      </c>
      <c r="G101" s="148" t="str">
        <f t="shared" si="13"/>
        <v/>
      </c>
      <c r="H101" s="148" t="str">
        <f t="shared" si="14"/>
        <v/>
      </c>
      <c r="I101" s="148" t="e">
        <f t="shared" si="11"/>
        <v>#VALUE!</v>
      </c>
      <c r="J101" s="148">
        <f>SUM($H$14:$H101)</f>
        <v>0</v>
      </c>
      <c r="K101" s="150"/>
      <c r="L101" s="150"/>
    </row>
    <row r="102" spans="1:12" s="151" customFormat="1" x14ac:dyDescent="0.2">
      <c r="A102" s="146" t="str">
        <f>IF(Values_Entered,A101+1,"")</f>
        <v/>
      </c>
      <c r="B102" s="147" t="str">
        <f t="shared" si="8"/>
        <v/>
      </c>
      <c r="C102" s="148" t="str">
        <f t="shared" si="12"/>
        <v/>
      </c>
      <c r="D102" s="148" t="str">
        <f t="shared" si="15"/>
        <v/>
      </c>
      <c r="E102" s="149" t="e">
        <f t="shared" si="9"/>
        <v>#VALUE!</v>
      </c>
      <c r="F102" s="148" t="e">
        <f t="shared" si="10"/>
        <v>#VALUE!</v>
      </c>
      <c r="G102" s="148" t="str">
        <f t="shared" si="13"/>
        <v/>
      </c>
      <c r="H102" s="148" t="str">
        <f t="shared" si="14"/>
        <v/>
      </c>
      <c r="I102" s="148" t="e">
        <f t="shared" si="11"/>
        <v>#VALUE!</v>
      </c>
      <c r="J102" s="148">
        <f>SUM($H$14:$H102)</f>
        <v>0</v>
      </c>
      <c r="K102" s="150"/>
      <c r="L102" s="150"/>
    </row>
    <row r="103" spans="1:12" s="151" customFormat="1" x14ac:dyDescent="0.2">
      <c r="A103" s="146" t="str">
        <f>IF(Values_Entered,A102+1,"")</f>
        <v/>
      </c>
      <c r="B103" s="147" t="str">
        <f t="shared" si="8"/>
        <v/>
      </c>
      <c r="C103" s="148" t="str">
        <f t="shared" si="12"/>
        <v/>
      </c>
      <c r="D103" s="148" t="str">
        <f t="shared" si="15"/>
        <v/>
      </c>
      <c r="E103" s="149" t="e">
        <f t="shared" si="9"/>
        <v>#VALUE!</v>
      </c>
      <c r="F103" s="148" t="e">
        <f t="shared" si="10"/>
        <v>#VALUE!</v>
      </c>
      <c r="G103" s="148" t="str">
        <f t="shared" si="13"/>
        <v/>
      </c>
      <c r="H103" s="148" t="str">
        <f t="shared" si="14"/>
        <v/>
      </c>
      <c r="I103" s="148" t="e">
        <f t="shared" si="11"/>
        <v>#VALUE!</v>
      </c>
      <c r="J103" s="148">
        <f>SUM($H$14:$H103)</f>
        <v>0</v>
      </c>
      <c r="K103" s="150"/>
      <c r="L103" s="150"/>
    </row>
    <row r="104" spans="1:12" s="151" customFormat="1" x14ac:dyDescent="0.2">
      <c r="A104" s="146" t="str">
        <f>IF(Values_Entered,A103+1,"")</f>
        <v/>
      </c>
      <c r="B104" s="147" t="str">
        <f t="shared" si="8"/>
        <v/>
      </c>
      <c r="C104" s="148" t="str">
        <f t="shared" si="12"/>
        <v/>
      </c>
      <c r="D104" s="148" t="str">
        <f t="shared" si="15"/>
        <v/>
      </c>
      <c r="E104" s="149" t="e">
        <f t="shared" si="9"/>
        <v>#VALUE!</v>
      </c>
      <c r="F104" s="148" t="e">
        <f t="shared" si="10"/>
        <v>#VALUE!</v>
      </c>
      <c r="G104" s="148" t="str">
        <f t="shared" si="13"/>
        <v/>
      </c>
      <c r="H104" s="148" t="str">
        <f t="shared" si="14"/>
        <v/>
      </c>
      <c r="I104" s="148" t="e">
        <f t="shared" si="11"/>
        <v>#VALUE!</v>
      </c>
      <c r="J104" s="148">
        <f>SUM($H$14:$H104)</f>
        <v>0</v>
      </c>
      <c r="K104" s="150"/>
      <c r="L104" s="150"/>
    </row>
    <row r="105" spans="1:12" s="151" customFormat="1" x14ac:dyDescent="0.2">
      <c r="A105" s="146" t="str">
        <f>IF(Values_Entered,A104+1,"")</f>
        <v/>
      </c>
      <c r="B105" s="147" t="str">
        <f t="shared" si="8"/>
        <v/>
      </c>
      <c r="C105" s="148" t="str">
        <f t="shared" si="12"/>
        <v/>
      </c>
      <c r="D105" s="148" t="str">
        <f t="shared" si="15"/>
        <v/>
      </c>
      <c r="E105" s="149" t="e">
        <f t="shared" si="9"/>
        <v>#VALUE!</v>
      </c>
      <c r="F105" s="148" t="e">
        <f t="shared" si="10"/>
        <v>#VALUE!</v>
      </c>
      <c r="G105" s="148" t="str">
        <f t="shared" si="13"/>
        <v/>
      </c>
      <c r="H105" s="148" t="str">
        <f t="shared" si="14"/>
        <v/>
      </c>
      <c r="I105" s="148" t="e">
        <f t="shared" si="11"/>
        <v>#VALUE!</v>
      </c>
      <c r="J105" s="148">
        <f>SUM($H$14:$H105)</f>
        <v>0</v>
      </c>
      <c r="K105" s="150"/>
      <c r="L105" s="150"/>
    </row>
    <row r="106" spans="1:12" s="151" customFormat="1" x14ac:dyDescent="0.2">
      <c r="A106" s="146" t="str">
        <f>IF(Values_Entered,A105+1,"")</f>
        <v/>
      </c>
      <c r="B106" s="147" t="str">
        <f t="shared" si="8"/>
        <v/>
      </c>
      <c r="C106" s="148" t="str">
        <f t="shared" si="12"/>
        <v/>
      </c>
      <c r="D106" s="148" t="str">
        <f t="shared" si="15"/>
        <v/>
      </c>
      <c r="E106" s="149" t="e">
        <f t="shared" si="9"/>
        <v>#VALUE!</v>
      </c>
      <c r="F106" s="148" t="e">
        <f t="shared" si="10"/>
        <v>#VALUE!</v>
      </c>
      <c r="G106" s="148" t="str">
        <f t="shared" si="13"/>
        <v/>
      </c>
      <c r="H106" s="148" t="str">
        <f t="shared" si="14"/>
        <v/>
      </c>
      <c r="I106" s="148" t="e">
        <f t="shared" si="11"/>
        <v>#VALUE!</v>
      </c>
      <c r="J106" s="148">
        <f>SUM($H$14:$H106)</f>
        <v>0</v>
      </c>
      <c r="K106" s="150"/>
      <c r="L106" s="150"/>
    </row>
    <row r="107" spans="1:12" s="151" customFormat="1" x14ac:dyDescent="0.2">
      <c r="A107" s="146" t="str">
        <f>IF(Values_Entered,A106+1,"")</f>
        <v/>
      </c>
      <c r="B107" s="147" t="str">
        <f t="shared" si="8"/>
        <v/>
      </c>
      <c r="C107" s="148" t="str">
        <f t="shared" si="12"/>
        <v/>
      </c>
      <c r="D107" s="148" t="str">
        <f t="shared" si="15"/>
        <v/>
      </c>
      <c r="E107" s="149" t="e">
        <f t="shared" si="9"/>
        <v>#VALUE!</v>
      </c>
      <c r="F107" s="148" t="e">
        <f t="shared" si="10"/>
        <v>#VALUE!</v>
      </c>
      <c r="G107" s="148" t="str">
        <f t="shared" si="13"/>
        <v/>
      </c>
      <c r="H107" s="148" t="str">
        <f t="shared" si="14"/>
        <v/>
      </c>
      <c r="I107" s="148" t="e">
        <f t="shared" si="11"/>
        <v>#VALUE!</v>
      </c>
      <c r="J107" s="148">
        <f>SUM($H$14:$H107)</f>
        <v>0</v>
      </c>
      <c r="K107" s="150"/>
      <c r="L107" s="150"/>
    </row>
    <row r="108" spans="1:12" s="151" customFormat="1" x14ac:dyDescent="0.2">
      <c r="A108" s="146" t="str">
        <f>IF(Values_Entered,A107+1,"")</f>
        <v/>
      </c>
      <c r="B108" s="147" t="str">
        <f t="shared" si="8"/>
        <v/>
      </c>
      <c r="C108" s="148" t="str">
        <f t="shared" si="12"/>
        <v/>
      </c>
      <c r="D108" s="148" t="str">
        <f t="shared" si="15"/>
        <v/>
      </c>
      <c r="E108" s="149" t="e">
        <f t="shared" si="9"/>
        <v>#VALUE!</v>
      </c>
      <c r="F108" s="148" t="e">
        <f t="shared" si="10"/>
        <v>#VALUE!</v>
      </c>
      <c r="G108" s="148" t="str">
        <f t="shared" si="13"/>
        <v/>
      </c>
      <c r="H108" s="148" t="str">
        <f t="shared" si="14"/>
        <v/>
      </c>
      <c r="I108" s="148" t="e">
        <f t="shared" si="11"/>
        <v>#VALUE!</v>
      </c>
      <c r="J108" s="148">
        <f>SUM($H$14:$H108)</f>
        <v>0</v>
      </c>
      <c r="K108" s="150"/>
      <c r="L108" s="150"/>
    </row>
    <row r="109" spans="1:12" s="151" customFormat="1" x14ac:dyDescent="0.2">
      <c r="A109" s="146" t="str">
        <f>IF(Values_Entered,A108+1,"")</f>
        <v/>
      </c>
      <c r="B109" s="147" t="str">
        <f t="shared" si="8"/>
        <v/>
      </c>
      <c r="C109" s="148" t="str">
        <f t="shared" si="12"/>
        <v/>
      </c>
      <c r="D109" s="148" t="str">
        <f t="shared" si="15"/>
        <v/>
      </c>
      <c r="E109" s="149" t="e">
        <f t="shared" si="9"/>
        <v>#VALUE!</v>
      </c>
      <c r="F109" s="148" t="e">
        <f t="shared" si="10"/>
        <v>#VALUE!</v>
      </c>
      <c r="G109" s="148" t="str">
        <f t="shared" si="13"/>
        <v/>
      </c>
      <c r="H109" s="148" t="str">
        <f t="shared" si="14"/>
        <v/>
      </c>
      <c r="I109" s="148" t="e">
        <f t="shared" si="11"/>
        <v>#VALUE!</v>
      </c>
      <c r="J109" s="148">
        <f>SUM($H$14:$H109)</f>
        <v>0</v>
      </c>
      <c r="K109" s="150"/>
      <c r="L109" s="150"/>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505" t="s">
        <v>75</v>
      </c>
      <c r="B1" s="505"/>
      <c r="C1" s="505"/>
      <c r="D1" s="505"/>
      <c r="E1" s="505"/>
      <c r="F1" s="506" t="str">
        <f>Input!D60</f>
        <v>Grid powered irrigation system</v>
      </c>
      <c r="G1" s="506"/>
      <c r="H1" s="506"/>
      <c r="I1" s="506"/>
      <c r="J1" s="506"/>
    </row>
    <row r="2" spans="1:11" ht="12.75" customHeight="1" x14ac:dyDescent="0.2">
      <c r="A2" s="5" t="s">
        <v>33</v>
      </c>
      <c r="B2" s="6">
        <f>Input!E88</f>
        <v>0</v>
      </c>
      <c r="C2" s="7"/>
      <c r="D2" s="7"/>
      <c r="E2" s="7"/>
      <c r="F2" s="7"/>
      <c r="G2" s="7"/>
      <c r="H2" s="7"/>
      <c r="I2" s="7"/>
      <c r="J2" s="7"/>
    </row>
    <row r="3" spans="1:11" ht="14.25" customHeight="1" x14ac:dyDescent="0.2">
      <c r="A3" s="10"/>
      <c r="B3" s="507" t="s">
        <v>34</v>
      </c>
      <c r="C3" s="507"/>
      <c r="D3" s="507"/>
      <c r="E3" s="10"/>
      <c r="F3" s="507" t="s">
        <v>35</v>
      </c>
      <c r="G3" s="507"/>
      <c r="H3" s="507"/>
      <c r="I3" s="83"/>
      <c r="J3" s="10"/>
      <c r="K3" s="11"/>
    </row>
    <row r="4" spans="1:11" x14ac:dyDescent="0.2">
      <c r="A4" s="10"/>
      <c r="B4" s="10"/>
      <c r="C4" s="12" t="s">
        <v>36</v>
      </c>
      <c r="D4" s="13">
        <f>Input!E85</f>
        <v>0</v>
      </c>
      <c r="E4" s="14"/>
      <c r="F4" s="10"/>
      <c r="G4" s="12" t="s">
        <v>37</v>
      </c>
      <c r="H4" s="13" t="str">
        <f>IF(Values_Entered,-PMT(Interest_Rate/Num_Pmt_Per_Year,Loan_Years*Num_Pmt_Per_Year,Loan_Amount),"0")</f>
        <v>0</v>
      </c>
      <c r="I4" s="15"/>
      <c r="J4" s="10"/>
      <c r="K4" s="11"/>
    </row>
    <row r="5" spans="1:11" x14ac:dyDescent="0.2">
      <c r="A5" s="10"/>
      <c r="B5" s="10"/>
      <c r="C5" s="12" t="s">
        <v>38</v>
      </c>
      <c r="D5" s="16">
        <f>Input!E86</f>
        <v>0</v>
      </c>
      <c r="E5" s="17"/>
      <c r="F5" s="10"/>
      <c r="G5" s="12" t="s">
        <v>39</v>
      </c>
      <c r="H5" s="38" t="str">
        <f>IF(Values_Entered,Loan_Years*Num_Pmt_Per_Year,"")</f>
        <v/>
      </c>
      <c r="I5" s="18"/>
      <c r="J5" s="19"/>
      <c r="K5" s="11"/>
    </row>
    <row r="6" spans="1:11" x14ac:dyDescent="0.2">
      <c r="A6" s="10"/>
      <c r="B6" s="10"/>
      <c r="C6" s="12" t="s">
        <v>40</v>
      </c>
      <c r="D6" s="18">
        <f>Input!E87</f>
        <v>0</v>
      </c>
      <c r="E6" s="17"/>
      <c r="F6" s="10"/>
      <c r="G6" s="12" t="s">
        <v>41</v>
      </c>
      <c r="H6" s="38" t="str">
        <f>IF(Values_Entered,Number_of_Payments,"")</f>
        <v/>
      </c>
      <c r="I6" s="18"/>
      <c r="J6" s="19"/>
      <c r="K6" s="11"/>
    </row>
    <row r="7" spans="1:11" x14ac:dyDescent="0.2">
      <c r="A7" s="10"/>
      <c r="B7" s="10"/>
      <c r="C7" s="12" t="s">
        <v>42</v>
      </c>
      <c r="D7" s="18">
        <v>1</v>
      </c>
      <c r="E7" s="17"/>
      <c r="F7" s="10"/>
      <c r="G7" s="12" t="s">
        <v>43</v>
      </c>
      <c r="H7" s="84" t="str">
        <f>IF(Values_Entered,SUMIF(Beg_Bal,"&gt;0",Extra_Pay),"")</f>
        <v/>
      </c>
      <c r="I7" s="15"/>
      <c r="J7" s="19"/>
      <c r="K7" s="11"/>
    </row>
    <row r="8" spans="1:11" x14ac:dyDescent="0.2">
      <c r="A8" s="10"/>
      <c r="B8" s="10"/>
      <c r="C8" s="12" t="s">
        <v>44</v>
      </c>
      <c r="D8" s="20">
        <v>42736</v>
      </c>
      <c r="E8" s="21"/>
      <c r="F8" s="10"/>
      <c r="G8" s="12" t="s">
        <v>45</v>
      </c>
      <c r="H8" s="84" t="str">
        <f>IF(Values_Entered,SUMIF(Beg_Bal,"&gt;0",Int),"")</f>
        <v/>
      </c>
      <c r="I8" s="15"/>
      <c r="J8" s="19"/>
      <c r="K8" s="11"/>
    </row>
    <row r="9" spans="1:11" x14ac:dyDescent="0.2">
      <c r="A9" s="10"/>
      <c r="B9" s="10"/>
      <c r="C9" s="12" t="s">
        <v>46</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47</v>
      </c>
      <c r="B12" s="23" t="s">
        <v>48</v>
      </c>
      <c r="C12" s="23" t="s">
        <v>49</v>
      </c>
      <c r="D12" s="23" t="s">
        <v>37</v>
      </c>
      <c r="E12" s="23" t="s">
        <v>50</v>
      </c>
      <c r="F12" s="23" t="s">
        <v>51</v>
      </c>
      <c r="G12" s="23" t="s">
        <v>52</v>
      </c>
      <c r="H12" s="23" t="s">
        <v>53</v>
      </c>
      <c r="I12" s="23" t="s">
        <v>54</v>
      </c>
      <c r="J12" s="23" t="s">
        <v>55</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505" t="s">
        <v>75</v>
      </c>
      <c r="B1" s="505"/>
      <c r="C1" s="505"/>
      <c r="D1" s="505"/>
      <c r="E1" s="505"/>
      <c r="F1" s="506" t="str">
        <f>Input!D60</f>
        <v>Grid powered irrigation system</v>
      </c>
      <c r="G1" s="506"/>
      <c r="H1" s="506"/>
      <c r="I1" s="506"/>
      <c r="J1" s="506"/>
    </row>
    <row r="2" spans="1:11" ht="12.75" customHeight="1" x14ac:dyDescent="0.2">
      <c r="A2" s="5" t="s">
        <v>33</v>
      </c>
      <c r="B2" s="6">
        <f>Input!E119</f>
        <v>0</v>
      </c>
      <c r="C2" s="7"/>
      <c r="D2" s="7"/>
      <c r="E2" s="7"/>
      <c r="F2" s="7"/>
      <c r="G2" s="7"/>
      <c r="H2" s="7"/>
      <c r="I2" s="7"/>
      <c r="J2" s="7"/>
    </row>
    <row r="3" spans="1:11" ht="14.25" customHeight="1" x14ac:dyDescent="0.2">
      <c r="A3" s="10"/>
      <c r="B3" s="507" t="s">
        <v>34</v>
      </c>
      <c r="C3" s="507"/>
      <c r="D3" s="507"/>
      <c r="E3" s="10"/>
      <c r="F3" s="507" t="s">
        <v>35</v>
      </c>
      <c r="G3" s="507"/>
      <c r="H3" s="507"/>
      <c r="I3" s="87"/>
      <c r="J3" s="10"/>
      <c r="K3" s="11"/>
    </row>
    <row r="4" spans="1:11" x14ac:dyDescent="0.2">
      <c r="A4" s="10"/>
      <c r="B4" s="10"/>
      <c r="C4" s="12" t="s">
        <v>36</v>
      </c>
      <c r="D4" s="88">
        <f>Input!E116</f>
        <v>0</v>
      </c>
      <c r="E4" s="14"/>
      <c r="F4" s="10"/>
      <c r="G4" s="12" t="s">
        <v>37</v>
      </c>
      <c r="H4" s="13" t="str">
        <f>IF(Values_Entered,-PMT(Interest_Rate/Num_Pmt_Per_Year,Loan_Years*Num_Pmt_Per_Year,Loan_Amount),"0")</f>
        <v>0</v>
      </c>
      <c r="I4" s="15"/>
      <c r="J4" s="10"/>
      <c r="K4" s="11"/>
    </row>
    <row r="5" spans="1:11" x14ac:dyDescent="0.2">
      <c r="A5" s="10"/>
      <c r="B5" s="10"/>
      <c r="C5" s="12" t="s">
        <v>38</v>
      </c>
      <c r="D5" s="89">
        <f>Input!E117</f>
        <v>0</v>
      </c>
      <c r="E5" s="17"/>
      <c r="F5" s="10"/>
      <c r="G5" s="12" t="s">
        <v>39</v>
      </c>
      <c r="H5" s="38" t="str">
        <f>IF(Values_Entered,Loan_Years*Num_Pmt_Per_Year,"")</f>
        <v/>
      </c>
      <c r="I5" s="18"/>
      <c r="J5" s="19"/>
      <c r="K5" s="11"/>
    </row>
    <row r="6" spans="1:11" x14ac:dyDescent="0.2">
      <c r="A6" s="10"/>
      <c r="B6" s="10"/>
      <c r="C6" s="12" t="s">
        <v>40</v>
      </c>
      <c r="D6" s="88">
        <f>Input!E118</f>
        <v>0</v>
      </c>
      <c r="E6" s="17"/>
      <c r="F6" s="10"/>
      <c r="G6" s="12" t="s">
        <v>41</v>
      </c>
      <c r="H6" s="38" t="str">
        <f>IF(Values_Entered,Number_of_Payments,"")</f>
        <v/>
      </c>
      <c r="I6" s="18"/>
      <c r="J6" s="19"/>
      <c r="K6" s="11"/>
    </row>
    <row r="7" spans="1:11" x14ac:dyDescent="0.2">
      <c r="A7" s="10"/>
      <c r="B7" s="10"/>
      <c r="C7" s="12" t="s">
        <v>42</v>
      </c>
      <c r="D7" s="18">
        <v>1</v>
      </c>
      <c r="E7" s="17"/>
      <c r="F7" s="10"/>
      <c r="G7" s="12" t="s">
        <v>43</v>
      </c>
      <c r="H7" s="84" t="str">
        <f>IF(Values_Entered,SUMIF(Beg_Bal,"&gt;0",Extra_Pay),"")</f>
        <v/>
      </c>
      <c r="I7" s="15"/>
      <c r="J7" s="19"/>
      <c r="K7" s="11"/>
    </row>
    <row r="8" spans="1:11" x14ac:dyDescent="0.2">
      <c r="A8" s="10"/>
      <c r="B8" s="10"/>
      <c r="C8" s="12" t="s">
        <v>44</v>
      </c>
      <c r="D8" s="20">
        <v>42736</v>
      </c>
      <c r="E8" s="21"/>
      <c r="F8" s="10"/>
      <c r="G8" s="12" t="s">
        <v>45</v>
      </c>
      <c r="H8" s="84" t="str">
        <f>IF(Values_Entered,SUMIF(Beg_Bal,"&gt;0",Int),"")</f>
        <v/>
      </c>
      <c r="I8" s="15"/>
      <c r="J8" s="19"/>
      <c r="K8" s="11"/>
    </row>
    <row r="9" spans="1:11" x14ac:dyDescent="0.2">
      <c r="A9" s="10"/>
      <c r="B9" s="10"/>
      <c r="C9" s="12" t="s">
        <v>46</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47</v>
      </c>
      <c r="B12" s="23" t="s">
        <v>48</v>
      </c>
      <c r="C12" s="23" t="s">
        <v>49</v>
      </c>
      <c r="D12" s="23" t="s">
        <v>37</v>
      </c>
      <c r="E12" s="23" t="s">
        <v>50</v>
      </c>
      <c r="F12" s="23" t="s">
        <v>51</v>
      </c>
      <c r="G12" s="23" t="s">
        <v>52</v>
      </c>
      <c r="H12" s="23" t="s">
        <v>53</v>
      </c>
      <c r="I12" s="23" t="s">
        <v>54</v>
      </c>
      <c r="J12" s="23" t="s">
        <v>55</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71</vt:i4>
      </vt:variant>
    </vt:vector>
  </HeadingPairs>
  <TitlesOfParts>
    <vt:vector size="78" baseType="lpstr">
      <vt:lpstr>READ ME</vt:lpstr>
      <vt:lpstr>Input</vt:lpstr>
      <vt:lpstr>Output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2018-12-07T09:25:46Z</cp:lastPrinted>
  <dcterms:created xsi:type="dcterms:W3CDTF">2016-12-29T07:52:03Z</dcterms:created>
  <dcterms:modified xsi:type="dcterms:W3CDTF">2018-12-17T10:05:12Z</dcterms:modified>
</cp:coreProperties>
</file>